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saw\Desktop\Kitty Kat Jack\Easy LBO\2018.03.11 - Revised\"/>
    </mc:Choice>
  </mc:AlternateContent>
  <xr:revisionPtr revIDLastSave="0" documentId="13_ncr:1_{689C26DA-76F8-4F46-9E22-B194C91D223A}" xr6:coauthVersionLast="28" xr6:coauthVersionMax="28" xr10:uidLastSave="{00000000-0000-0000-0000-000000000000}"/>
  <bookViews>
    <workbookView xWindow="0" yWindow="0" windowWidth="16920" windowHeight="11085" xr2:uid="{00000000-000D-0000-FFFF-FFFF00000000}"/>
  </bookViews>
  <sheets>
    <sheet name="LBO_Final" sheetId="7" r:id="rId1"/>
    <sheet name="LBO_3" sheetId="8" r:id="rId2"/>
    <sheet name="LBO_4" sheetId="9" r:id="rId3"/>
    <sheet name="LBO_5" sheetId="10" r:id="rId4"/>
    <sheet name="LBO_6" sheetId="11" r:id="rId5"/>
    <sheet name="LBO_7" sheetId="12" r:id="rId6"/>
    <sheet name="LBO_8" sheetId="13" r:id="rId7"/>
    <sheet name="LBO_9" sheetId="14" r:id="rId8"/>
    <sheet name="LBO_10" sheetId="15" r:id="rId9"/>
    <sheet name="LBO_11" sheetId="16" r:id="rId10"/>
    <sheet name="LBO_12" sheetId="17" r:id="rId11"/>
    <sheet name="LBO_13" sheetId="19" r:id="rId12"/>
    <sheet name="LBO_14" sheetId="20" r:id="rId13"/>
    <sheet name="LBO_15" sheetId="22" r:id="rId14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calcId="171027" iterate="1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09" i="16" l="1"/>
  <c r="J209" i="17"/>
  <c r="J209" i="16"/>
  <c r="Q160" i="7" l="1"/>
  <c r="Q166" i="7" s="1"/>
  <c r="P160" i="7"/>
  <c r="P166" i="7" s="1"/>
  <c r="O160" i="7"/>
  <c r="O166" i="7" s="1"/>
  <c r="N160" i="7"/>
  <c r="N166" i="7" s="1"/>
  <c r="M160" i="7"/>
  <c r="M166" i="7" s="1"/>
  <c r="L160" i="7"/>
  <c r="L166" i="7" s="1"/>
  <c r="K160" i="7"/>
  <c r="K166" i="7" s="1"/>
  <c r="Q155" i="7"/>
  <c r="P155" i="7"/>
  <c r="O155" i="7"/>
  <c r="N155" i="7"/>
  <c r="M155" i="7"/>
  <c r="L155" i="7"/>
  <c r="K155" i="7"/>
  <c r="Q153" i="7"/>
  <c r="P153" i="7"/>
  <c r="O153" i="7"/>
  <c r="N153" i="7"/>
  <c r="M153" i="7"/>
  <c r="L153" i="7"/>
  <c r="K153" i="7"/>
  <c r="Q152" i="7"/>
  <c r="P152" i="7"/>
  <c r="O152" i="7"/>
  <c r="N152" i="7"/>
  <c r="M152" i="7"/>
  <c r="Q151" i="7"/>
  <c r="P151" i="7"/>
  <c r="O151" i="7"/>
  <c r="N151" i="7"/>
  <c r="M151" i="7"/>
  <c r="L151" i="7"/>
  <c r="K151" i="7"/>
  <c r="P106" i="7"/>
  <c r="L106" i="7"/>
  <c r="Q105" i="7"/>
  <c r="P105" i="7"/>
  <c r="O105" i="7"/>
  <c r="N105" i="7"/>
  <c r="M105" i="7"/>
  <c r="L105" i="7"/>
  <c r="K105" i="7"/>
  <c r="Q104" i="7"/>
  <c r="P104" i="7"/>
  <c r="O104" i="7"/>
  <c r="N104" i="7"/>
  <c r="M104" i="7"/>
  <c r="L104" i="7"/>
  <c r="K104" i="7"/>
  <c r="Q103" i="7"/>
  <c r="Q106" i="7" s="1"/>
  <c r="P103" i="7"/>
  <c r="O103" i="7"/>
  <c r="O106" i="7" s="1"/>
  <c r="N103" i="7"/>
  <c r="N106" i="7" s="1"/>
  <c r="M103" i="7"/>
  <c r="M106" i="7" s="1"/>
  <c r="L103" i="7"/>
  <c r="K103" i="7"/>
  <c r="K106" i="7" s="1"/>
  <c r="P101" i="7"/>
  <c r="P108" i="7" s="1"/>
  <c r="L101" i="7"/>
  <c r="L108" i="7" s="1"/>
  <c r="Q100" i="7"/>
  <c r="P100" i="7"/>
  <c r="O100" i="7"/>
  <c r="N100" i="7"/>
  <c r="M100" i="7"/>
  <c r="L100" i="7"/>
  <c r="K100" i="7"/>
  <c r="Q99" i="7"/>
  <c r="P99" i="7"/>
  <c r="O99" i="7"/>
  <c r="N99" i="7"/>
  <c r="M99" i="7"/>
  <c r="L99" i="7"/>
  <c r="K99" i="7"/>
  <c r="Q98" i="7"/>
  <c r="Q101" i="7" s="1"/>
  <c r="Q108" i="7" s="1"/>
  <c r="P98" i="7"/>
  <c r="O98" i="7"/>
  <c r="O101" i="7" s="1"/>
  <c r="O108" i="7" s="1"/>
  <c r="N98" i="7"/>
  <c r="N101" i="7" s="1"/>
  <c r="M98" i="7"/>
  <c r="M101" i="7" s="1"/>
  <c r="M108" i="7" s="1"/>
  <c r="L98" i="7"/>
  <c r="K98" i="7"/>
  <c r="K101" i="7" s="1"/>
  <c r="Q84" i="7"/>
  <c r="P84" i="7"/>
  <c r="O84" i="7"/>
  <c r="N84" i="7"/>
  <c r="M84" i="7"/>
  <c r="L84" i="7"/>
  <c r="K84" i="7"/>
  <c r="J84" i="7"/>
  <c r="I84" i="7"/>
  <c r="L56" i="7"/>
  <c r="P109" i="7" l="1"/>
  <c r="Q109" i="7"/>
  <c r="N108" i="7"/>
  <c r="O109" i="7" s="1"/>
  <c r="K108" i="7"/>
  <c r="L109" i="7" s="1"/>
  <c r="M109" i="7"/>
  <c r="N196" i="16"/>
  <c r="Q356" i="22"/>
  <c r="P356" i="22"/>
  <c r="O356" i="22"/>
  <c r="N356" i="22"/>
  <c r="M356" i="22"/>
  <c r="L356" i="22"/>
  <c r="K356" i="22"/>
  <c r="J356" i="22"/>
  <c r="Q356" i="7"/>
  <c r="P356" i="7"/>
  <c r="O356" i="7"/>
  <c r="N356" i="7"/>
  <c r="M356" i="7"/>
  <c r="L356" i="7"/>
  <c r="K356" i="7"/>
  <c r="J356" i="7"/>
  <c r="I303" i="7"/>
  <c r="I303" i="8"/>
  <c r="I303" i="9"/>
  <c r="I303" i="10"/>
  <c r="I303" i="11"/>
  <c r="I302" i="12"/>
  <c r="I302" i="13"/>
  <c r="I303" i="14"/>
  <c r="I303" i="15"/>
  <c r="I303" i="16"/>
  <c r="I303" i="17"/>
  <c r="I303" i="19"/>
  <c r="I303" i="20"/>
  <c r="I303" i="22"/>
  <c r="H342" i="22"/>
  <c r="Q324" i="22"/>
  <c r="P324" i="22"/>
  <c r="O324" i="22"/>
  <c r="N324" i="22"/>
  <c r="M324" i="22"/>
  <c r="L324" i="22"/>
  <c r="K324" i="22"/>
  <c r="J324" i="22"/>
  <c r="Q323" i="22"/>
  <c r="P323" i="22"/>
  <c r="O323" i="22"/>
  <c r="N323" i="22"/>
  <c r="M323" i="22"/>
  <c r="L323" i="22"/>
  <c r="K323" i="22"/>
  <c r="J323" i="22"/>
  <c r="Q322" i="22"/>
  <c r="P322" i="22"/>
  <c r="O322" i="22"/>
  <c r="N322" i="22"/>
  <c r="M322" i="22"/>
  <c r="L322" i="22"/>
  <c r="K322" i="22"/>
  <c r="J322" i="22"/>
  <c r="Q321" i="22"/>
  <c r="P321" i="22"/>
  <c r="O321" i="22"/>
  <c r="N321" i="22"/>
  <c r="M321" i="22"/>
  <c r="L321" i="22"/>
  <c r="K321" i="22"/>
  <c r="J321" i="22"/>
  <c r="Q320" i="22"/>
  <c r="P320" i="22"/>
  <c r="O320" i="22"/>
  <c r="N320" i="22"/>
  <c r="M320" i="22"/>
  <c r="L320" i="22"/>
  <c r="K320" i="22"/>
  <c r="J320" i="22"/>
  <c r="Q319" i="22"/>
  <c r="P319" i="22"/>
  <c r="O319" i="22"/>
  <c r="N319" i="22"/>
  <c r="M319" i="22"/>
  <c r="L319" i="22"/>
  <c r="K319" i="22"/>
  <c r="J319" i="22"/>
  <c r="Q318" i="22"/>
  <c r="P318" i="22"/>
  <c r="O318" i="22"/>
  <c r="N318" i="22"/>
  <c r="M318" i="22"/>
  <c r="L318" i="22"/>
  <c r="K318" i="22"/>
  <c r="J318" i="22"/>
  <c r="Q317" i="22"/>
  <c r="P317" i="22"/>
  <c r="O317" i="22"/>
  <c r="N317" i="22"/>
  <c r="M317" i="22"/>
  <c r="L317" i="22"/>
  <c r="K317" i="22"/>
  <c r="J317" i="22"/>
  <c r="Q316" i="22"/>
  <c r="P316" i="22"/>
  <c r="O316" i="22"/>
  <c r="N316" i="22"/>
  <c r="M316" i="22"/>
  <c r="L316" i="22"/>
  <c r="K316" i="22"/>
  <c r="J316" i="22"/>
  <c r="I177" i="16"/>
  <c r="I177" i="15"/>
  <c r="Q306" i="22"/>
  <c r="P306" i="22"/>
  <c r="O306" i="22"/>
  <c r="N306" i="22"/>
  <c r="M306" i="22"/>
  <c r="L306" i="22"/>
  <c r="K306" i="22"/>
  <c r="J306" i="22"/>
  <c r="E323" i="22"/>
  <c r="E324" i="22" s="1"/>
  <c r="E320" i="22"/>
  <c r="E321" i="22" s="1"/>
  <c r="E322" i="22" s="1"/>
  <c r="E319" i="22"/>
  <c r="E318" i="22" s="1"/>
  <c r="E317" i="22" s="1"/>
  <c r="E316" i="22" s="1"/>
  <c r="Q303" i="22"/>
  <c r="P303" i="22"/>
  <c r="O303" i="22"/>
  <c r="N303" i="22"/>
  <c r="M303" i="22"/>
  <c r="L303" i="22"/>
  <c r="K303" i="22"/>
  <c r="J303" i="22"/>
  <c r="I286" i="22"/>
  <c r="I284" i="22"/>
  <c r="Q275" i="22"/>
  <c r="P275" i="22"/>
  <c r="O275" i="22"/>
  <c r="N275" i="22"/>
  <c r="M275" i="22"/>
  <c r="L275" i="22"/>
  <c r="K275" i="22"/>
  <c r="J275" i="22"/>
  <c r="I275" i="22"/>
  <c r="H255" i="22"/>
  <c r="H254" i="22"/>
  <c r="H253" i="22"/>
  <c r="H252" i="22"/>
  <c r="G248" i="22"/>
  <c r="G247" i="22"/>
  <c r="H236" i="22"/>
  <c r="G236" i="22"/>
  <c r="H235" i="22"/>
  <c r="G235" i="22"/>
  <c r="M234" i="22"/>
  <c r="H234" i="22"/>
  <c r="G234" i="22"/>
  <c r="N233" i="22"/>
  <c r="J233" i="22"/>
  <c r="H233" i="22"/>
  <c r="G233" i="22"/>
  <c r="Q233" i="22" s="1"/>
  <c r="P232" i="22"/>
  <c r="O232" i="22"/>
  <c r="N232" i="22"/>
  <c r="L232" i="22"/>
  <c r="K232" i="22"/>
  <c r="J232" i="22"/>
  <c r="H232" i="22"/>
  <c r="Q232" i="22" s="1"/>
  <c r="Q219" i="22"/>
  <c r="P219" i="22"/>
  <c r="O219" i="22"/>
  <c r="N219" i="22"/>
  <c r="M219" i="22"/>
  <c r="L219" i="22"/>
  <c r="K219" i="22"/>
  <c r="J219" i="22"/>
  <c r="K197" i="22"/>
  <c r="J197" i="22"/>
  <c r="L196" i="22"/>
  <c r="M196" i="22" s="1"/>
  <c r="K196" i="22"/>
  <c r="J196" i="22"/>
  <c r="K195" i="22"/>
  <c r="J195" i="22"/>
  <c r="L194" i="22"/>
  <c r="K194" i="22"/>
  <c r="G189" i="22"/>
  <c r="I181" i="22"/>
  <c r="Q177" i="22"/>
  <c r="P177" i="22"/>
  <c r="O177" i="22"/>
  <c r="N177" i="22"/>
  <c r="M177" i="22"/>
  <c r="L177" i="22"/>
  <c r="K177" i="22"/>
  <c r="J177" i="22"/>
  <c r="I177" i="22"/>
  <c r="O248" i="22" s="1"/>
  <c r="G171" i="22"/>
  <c r="Q160" i="22"/>
  <c r="Q166" i="22" s="1"/>
  <c r="P160" i="22"/>
  <c r="P166" i="22" s="1"/>
  <c r="O160" i="22"/>
  <c r="O166" i="22" s="1"/>
  <c r="N160" i="22"/>
  <c r="N166" i="22" s="1"/>
  <c r="M160" i="22"/>
  <c r="M166" i="22" s="1"/>
  <c r="L160" i="22"/>
  <c r="L166" i="22" s="1"/>
  <c r="K160" i="22"/>
  <c r="K166" i="22" s="1"/>
  <c r="J160" i="22"/>
  <c r="J166" i="22" s="1"/>
  <c r="J136" i="22"/>
  <c r="K136" i="22" s="1"/>
  <c r="L136" i="22" s="1"/>
  <c r="M136" i="22" s="1"/>
  <c r="N136" i="22" s="1"/>
  <c r="O136" i="22" s="1"/>
  <c r="P136" i="22" s="1"/>
  <c r="Q136" i="22" s="1"/>
  <c r="I136" i="22"/>
  <c r="H133" i="22"/>
  <c r="H137" i="22" s="1"/>
  <c r="H140" i="22" s="1"/>
  <c r="I132" i="22"/>
  <c r="I131" i="22"/>
  <c r="I130" i="22"/>
  <c r="I133" i="22" s="1"/>
  <c r="I124" i="22"/>
  <c r="I122" i="22"/>
  <c r="I121" i="22"/>
  <c r="H120" i="22"/>
  <c r="I119" i="22"/>
  <c r="I167" i="22" s="1"/>
  <c r="J158" i="22" s="1"/>
  <c r="I105" i="22"/>
  <c r="I95" i="22" s="1"/>
  <c r="J95" i="22" s="1"/>
  <c r="J104" i="22"/>
  <c r="J131" i="22" s="1"/>
  <c r="I104" i="22"/>
  <c r="I103" i="22"/>
  <c r="I106" i="22" s="1"/>
  <c r="I100" i="22"/>
  <c r="I93" i="22" s="1"/>
  <c r="I99" i="22"/>
  <c r="I94" i="22"/>
  <c r="J94" i="22" s="1"/>
  <c r="K94" i="22" s="1"/>
  <c r="J93" i="22"/>
  <c r="I85" i="22"/>
  <c r="I89" i="22" s="1"/>
  <c r="J89" i="22" s="1"/>
  <c r="J84" i="22"/>
  <c r="J85" i="22" s="1"/>
  <c r="I84" i="22"/>
  <c r="I73" i="22"/>
  <c r="J73" i="22" s="1"/>
  <c r="J155" i="22" s="1"/>
  <c r="J286" i="22" s="1"/>
  <c r="H73" i="22"/>
  <c r="I72" i="22"/>
  <c r="J72" i="22" s="1"/>
  <c r="K72" i="22" s="1"/>
  <c r="L72" i="22" s="1"/>
  <c r="M72" i="22" s="1"/>
  <c r="N72" i="22" s="1"/>
  <c r="O72" i="22" s="1"/>
  <c r="P72" i="22" s="1"/>
  <c r="Q72" i="22" s="1"/>
  <c r="H72" i="22"/>
  <c r="I71" i="22"/>
  <c r="J71" i="22" s="1"/>
  <c r="J50" i="22" s="1"/>
  <c r="K70" i="22"/>
  <c r="L70" i="22" s="1"/>
  <c r="M70" i="22" s="1"/>
  <c r="N70" i="22" s="1"/>
  <c r="O70" i="22" s="1"/>
  <c r="P70" i="22" s="1"/>
  <c r="Q70" i="22" s="1"/>
  <c r="J70" i="22"/>
  <c r="Q69" i="22"/>
  <c r="P69" i="22"/>
  <c r="I69" i="22"/>
  <c r="I65" i="22"/>
  <c r="I64" i="22"/>
  <c r="H64" i="22"/>
  <c r="G59" i="22"/>
  <c r="I55" i="22"/>
  <c r="I57" i="22" s="1"/>
  <c r="H55" i="22"/>
  <c r="H56" i="22" s="1"/>
  <c r="I52" i="22"/>
  <c r="I51" i="22"/>
  <c r="H51" i="22"/>
  <c r="H71" i="22" s="1"/>
  <c r="J48" i="22"/>
  <c r="I48" i="22"/>
  <c r="K47" i="22"/>
  <c r="J47" i="22"/>
  <c r="J54" i="22" s="1"/>
  <c r="Q25" i="22"/>
  <c r="R25" i="22" s="1"/>
  <c r="M25" i="22"/>
  <c r="G24" i="22"/>
  <c r="T22" i="22"/>
  <c r="G252" i="22" s="1"/>
  <c r="Q22" i="22"/>
  <c r="M13" i="22"/>
  <c r="G13" i="22"/>
  <c r="I183" i="22" s="1"/>
  <c r="M12" i="22"/>
  <c r="M11" i="22"/>
  <c r="M14" i="22" s="1"/>
  <c r="M9" i="22"/>
  <c r="Q236" i="7"/>
  <c r="P236" i="7"/>
  <c r="O236" i="7"/>
  <c r="N236" i="7"/>
  <c r="M236" i="7"/>
  <c r="L236" i="7"/>
  <c r="K236" i="7"/>
  <c r="J236" i="7"/>
  <c r="Q235" i="7"/>
  <c r="P235" i="7"/>
  <c r="O235" i="7"/>
  <c r="N235" i="7"/>
  <c r="M235" i="7"/>
  <c r="L235" i="7"/>
  <c r="K235" i="7"/>
  <c r="J235" i="7"/>
  <c r="Q234" i="7"/>
  <c r="P234" i="7"/>
  <c r="O234" i="7"/>
  <c r="N234" i="7"/>
  <c r="M234" i="7"/>
  <c r="L234" i="7"/>
  <c r="K234" i="7"/>
  <c r="J234" i="7"/>
  <c r="Q233" i="7"/>
  <c r="P233" i="7"/>
  <c r="O233" i="7"/>
  <c r="N233" i="7"/>
  <c r="M233" i="7"/>
  <c r="L233" i="7"/>
  <c r="K233" i="7"/>
  <c r="J233" i="7"/>
  <c r="Q232" i="7"/>
  <c r="P232" i="7"/>
  <c r="O232" i="7"/>
  <c r="N232" i="7"/>
  <c r="M232" i="7"/>
  <c r="L232" i="7"/>
  <c r="K232" i="7"/>
  <c r="J232" i="7"/>
  <c r="G25" i="7"/>
  <c r="I126" i="7" s="1"/>
  <c r="I105" i="19"/>
  <c r="I104" i="19"/>
  <c r="I103" i="19"/>
  <c r="I106" i="19" s="1"/>
  <c r="I105" i="17"/>
  <c r="I104" i="17"/>
  <c r="I103" i="17"/>
  <c r="I106" i="17" s="1"/>
  <c r="I105" i="16"/>
  <c r="I104" i="16"/>
  <c r="I103" i="16"/>
  <c r="I106" i="16" s="1"/>
  <c r="I105" i="15"/>
  <c r="I104" i="15"/>
  <c r="I103" i="15"/>
  <c r="I106" i="15" s="1"/>
  <c r="I105" i="14"/>
  <c r="I104" i="14"/>
  <c r="I103" i="14"/>
  <c r="I106" i="14" s="1"/>
  <c r="I104" i="13"/>
  <c r="I103" i="13"/>
  <c r="I102" i="13"/>
  <c r="I105" i="13" s="1"/>
  <c r="Q105" i="20"/>
  <c r="P105" i="20"/>
  <c r="O105" i="20"/>
  <c r="N105" i="20"/>
  <c r="M105" i="20"/>
  <c r="L105" i="20"/>
  <c r="K105" i="20"/>
  <c r="J105" i="20"/>
  <c r="Q104" i="20"/>
  <c r="P104" i="20"/>
  <c r="O104" i="20"/>
  <c r="N104" i="20"/>
  <c r="M104" i="20"/>
  <c r="L104" i="20"/>
  <c r="K104" i="20"/>
  <c r="J104" i="20"/>
  <c r="Q103" i="20"/>
  <c r="P103" i="20"/>
  <c r="O103" i="20"/>
  <c r="N103" i="20"/>
  <c r="M103" i="20"/>
  <c r="L103" i="20"/>
  <c r="K103" i="20"/>
  <c r="Q100" i="20"/>
  <c r="P100" i="20"/>
  <c r="O100" i="20"/>
  <c r="N100" i="20"/>
  <c r="M100" i="20"/>
  <c r="L100" i="20"/>
  <c r="K100" i="20"/>
  <c r="Q99" i="20"/>
  <c r="P99" i="20"/>
  <c r="O99" i="20"/>
  <c r="N99" i="20"/>
  <c r="M99" i="20"/>
  <c r="L99" i="20"/>
  <c r="K99" i="20"/>
  <c r="Q98" i="20"/>
  <c r="P98" i="20"/>
  <c r="O98" i="20"/>
  <c r="N98" i="20"/>
  <c r="M98" i="20"/>
  <c r="L98" i="20"/>
  <c r="K98" i="20"/>
  <c r="I286" i="7"/>
  <c r="I291" i="20"/>
  <c r="I290" i="20"/>
  <c r="I289" i="20"/>
  <c r="Q286" i="20"/>
  <c r="P286" i="20"/>
  <c r="O286" i="20"/>
  <c r="N286" i="20"/>
  <c r="M286" i="20"/>
  <c r="L286" i="20"/>
  <c r="K286" i="20"/>
  <c r="Q284" i="20"/>
  <c r="P284" i="20"/>
  <c r="O284" i="20"/>
  <c r="N284" i="20"/>
  <c r="M284" i="20"/>
  <c r="L284" i="20"/>
  <c r="K284" i="20"/>
  <c r="J286" i="20"/>
  <c r="I286" i="20"/>
  <c r="J284" i="20"/>
  <c r="I284" i="20"/>
  <c r="I281" i="20"/>
  <c r="I280" i="20"/>
  <c r="I279" i="20"/>
  <c r="I181" i="20"/>
  <c r="E323" i="20"/>
  <c r="E324" i="20" s="1"/>
  <c r="E321" i="20"/>
  <c r="E322" i="20" s="1"/>
  <c r="E320" i="20"/>
  <c r="E319" i="20"/>
  <c r="E318" i="20" s="1"/>
  <c r="E317" i="20" s="1"/>
  <c r="E316" i="20" s="1"/>
  <c r="Q303" i="20"/>
  <c r="P303" i="20"/>
  <c r="O303" i="20"/>
  <c r="N303" i="20"/>
  <c r="M303" i="20"/>
  <c r="L303" i="20"/>
  <c r="K303" i="20"/>
  <c r="J303" i="20"/>
  <c r="Q275" i="20"/>
  <c r="P275" i="20"/>
  <c r="O275" i="20"/>
  <c r="N275" i="20"/>
  <c r="M275" i="20"/>
  <c r="L275" i="20"/>
  <c r="K275" i="20"/>
  <c r="J275" i="20"/>
  <c r="I275" i="20"/>
  <c r="H255" i="20"/>
  <c r="H254" i="20"/>
  <c r="H253" i="20"/>
  <c r="H252" i="20"/>
  <c r="G248" i="20"/>
  <c r="G247" i="20"/>
  <c r="Q236" i="20"/>
  <c r="M236" i="20"/>
  <c r="H236" i="20"/>
  <c r="G236" i="20"/>
  <c r="P236" i="20" s="1"/>
  <c r="O235" i="20"/>
  <c r="K235" i="20"/>
  <c r="H235" i="20"/>
  <c r="Q235" i="20" s="1"/>
  <c r="G235" i="20"/>
  <c r="N235" i="20" s="1"/>
  <c r="Q234" i="20"/>
  <c r="M234" i="20"/>
  <c r="H234" i="20"/>
  <c r="G234" i="20"/>
  <c r="P234" i="20" s="1"/>
  <c r="O233" i="20"/>
  <c r="K233" i="20"/>
  <c r="H233" i="20"/>
  <c r="Q233" i="20" s="1"/>
  <c r="G233" i="20"/>
  <c r="N233" i="20" s="1"/>
  <c r="Q232" i="20"/>
  <c r="M232" i="20"/>
  <c r="H232" i="20"/>
  <c r="Q219" i="20"/>
  <c r="P219" i="20"/>
  <c r="O219" i="20"/>
  <c r="N219" i="20"/>
  <c r="M219" i="20"/>
  <c r="L219" i="20"/>
  <c r="K219" i="20"/>
  <c r="J219" i="20"/>
  <c r="J200" i="20"/>
  <c r="J197" i="20"/>
  <c r="K197" i="20" s="1"/>
  <c r="J196" i="20"/>
  <c r="K196" i="20" s="1"/>
  <c r="J195" i="20"/>
  <c r="K195" i="20" s="1"/>
  <c r="K194" i="20"/>
  <c r="L194" i="20" s="1"/>
  <c r="I189" i="20"/>
  <c r="G189" i="20"/>
  <c r="Q177" i="20"/>
  <c r="P177" i="20"/>
  <c r="O177" i="20"/>
  <c r="N177" i="20"/>
  <c r="M177" i="20"/>
  <c r="L177" i="20"/>
  <c r="K177" i="20"/>
  <c r="J177" i="20"/>
  <c r="I177" i="20"/>
  <c r="O248" i="20" s="1"/>
  <c r="G171" i="20"/>
  <c r="N166" i="20"/>
  <c r="Q160" i="20"/>
  <c r="Q166" i="20" s="1"/>
  <c r="P160" i="20"/>
  <c r="P166" i="20" s="1"/>
  <c r="O160" i="20"/>
  <c r="O166" i="20" s="1"/>
  <c r="N160" i="20"/>
  <c r="M160" i="20"/>
  <c r="M166" i="20" s="1"/>
  <c r="L160" i="20"/>
  <c r="L166" i="20" s="1"/>
  <c r="K160" i="20"/>
  <c r="K166" i="20" s="1"/>
  <c r="J160" i="20"/>
  <c r="J166" i="20" s="1"/>
  <c r="J136" i="20"/>
  <c r="K136" i="20" s="1"/>
  <c r="L136" i="20" s="1"/>
  <c r="M136" i="20" s="1"/>
  <c r="N136" i="20" s="1"/>
  <c r="O136" i="20" s="1"/>
  <c r="P136" i="20" s="1"/>
  <c r="Q136" i="20" s="1"/>
  <c r="I136" i="20"/>
  <c r="H133" i="20"/>
  <c r="H137" i="20" s="1"/>
  <c r="H140" i="20" s="1"/>
  <c r="I132" i="20"/>
  <c r="I131" i="20"/>
  <c r="I130" i="20"/>
  <c r="I133" i="20" s="1"/>
  <c r="I124" i="20"/>
  <c r="I122" i="20"/>
  <c r="I121" i="20"/>
  <c r="H120" i="20"/>
  <c r="I120" i="20" s="1"/>
  <c r="I119" i="20"/>
  <c r="I167" i="20" s="1"/>
  <c r="J158" i="20" s="1"/>
  <c r="I105" i="20"/>
  <c r="I104" i="20"/>
  <c r="I103" i="20"/>
  <c r="I100" i="20"/>
  <c r="I93" i="20" s="1"/>
  <c r="J93" i="20" s="1"/>
  <c r="I99" i="20"/>
  <c r="I98" i="20"/>
  <c r="I101" i="20" s="1"/>
  <c r="I85" i="20"/>
  <c r="I90" i="20" s="1"/>
  <c r="J90" i="20" s="1"/>
  <c r="I84" i="20"/>
  <c r="I95" i="20" s="1"/>
  <c r="J95" i="20" s="1"/>
  <c r="I73" i="20"/>
  <c r="J73" i="20" s="1"/>
  <c r="H73" i="20"/>
  <c r="I72" i="20"/>
  <c r="J72" i="20" s="1"/>
  <c r="K72" i="20" s="1"/>
  <c r="L72" i="20" s="1"/>
  <c r="M72" i="20" s="1"/>
  <c r="N72" i="20" s="1"/>
  <c r="O72" i="20" s="1"/>
  <c r="P72" i="20" s="1"/>
  <c r="Q72" i="20" s="1"/>
  <c r="H72" i="20"/>
  <c r="K70" i="20"/>
  <c r="L70" i="20" s="1"/>
  <c r="M70" i="20" s="1"/>
  <c r="N70" i="20" s="1"/>
  <c r="O70" i="20" s="1"/>
  <c r="P70" i="20" s="1"/>
  <c r="Q70" i="20" s="1"/>
  <c r="J70" i="20"/>
  <c r="Q69" i="20"/>
  <c r="P69" i="20"/>
  <c r="I65" i="20"/>
  <c r="I64" i="20"/>
  <c r="H64" i="20"/>
  <c r="G59" i="20"/>
  <c r="I56" i="20"/>
  <c r="I55" i="20"/>
  <c r="I57" i="20" s="1"/>
  <c r="H55" i="20"/>
  <c r="H56" i="20" s="1"/>
  <c r="I52" i="20"/>
  <c r="I51" i="20"/>
  <c r="I71" i="20" s="1"/>
  <c r="J71" i="20" s="1"/>
  <c r="H51" i="20"/>
  <c r="H71" i="20" s="1"/>
  <c r="J48" i="20"/>
  <c r="I48" i="20"/>
  <c r="I69" i="20" s="1"/>
  <c r="K47" i="20"/>
  <c r="K48" i="20" s="1"/>
  <c r="J47" i="20"/>
  <c r="J84" i="20" s="1"/>
  <c r="J85" i="20" s="1"/>
  <c r="M25" i="20"/>
  <c r="G24" i="20"/>
  <c r="T22" i="20"/>
  <c r="Q22" i="20"/>
  <c r="M13" i="20"/>
  <c r="M12" i="20"/>
  <c r="M11" i="20"/>
  <c r="M9" i="20"/>
  <c r="Q25" i="20" s="1"/>
  <c r="K124" i="19"/>
  <c r="L124" i="19" s="1"/>
  <c r="M124" i="19" s="1"/>
  <c r="N124" i="19" s="1"/>
  <c r="O124" i="19" s="1"/>
  <c r="P124" i="19" s="1"/>
  <c r="Q124" i="19" s="1"/>
  <c r="J124" i="19"/>
  <c r="K126" i="19"/>
  <c r="L126" i="19" s="1"/>
  <c r="M126" i="19" s="1"/>
  <c r="N126" i="19" s="1"/>
  <c r="O126" i="19" s="1"/>
  <c r="P126" i="19" s="1"/>
  <c r="Q126" i="19" s="1"/>
  <c r="L125" i="19"/>
  <c r="M125" i="19" s="1"/>
  <c r="N125" i="19" s="1"/>
  <c r="O125" i="19" s="1"/>
  <c r="P125" i="19" s="1"/>
  <c r="Q125" i="19" s="1"/>
  <c r="K125" i="19"/>
  <c r="Q122" i="19"/>
  <c r="P122" i="19"/>
  <c r="O122" i="19"/>
  <c r="N122" i="19"/>
  <c r="M122" i="19"/>
  <c r="L122" i="19"/>
  <c r="K122" i="19"/>
  <c r="Q121" i="19"/>
  <c r="P121" i="19"/>
  <c r="O121" i="19"/>
  <c r="N121" i="19"/>
  <c r="M121" i="19"/>
  <c r="L121" i="19"/>
  <c r="K121" i="19"/>
  <c r="Q120" i="19"/>
  <c r="P120" i="19"/>
  <c r="O120" i="19"/>
  <c r="N120" i="19"/>
  <c r="M120" i="19"/>
  <c r="L120" i="19"/>
  <c r="K120" i="19"/>
  <c r="J126" i="19"/>
  <c r="K136" i="19"/>
  <c r="L136" i="19" s="1"/>
  <c r="M136" i="19" s="1"/>
  <c r="N136" i="19" s="1"/>
  <c r="O136" i="19" s="1"/>
  <c r="P136" i="19" s="1"/>
  <c r="Q136" i="19" s="1"/>
  <c r="J136" i="19"/>
  <c r="J125" i="19"/>
  <c r="J122" i="19"/>
  <c r="J121" i="19"/>
  <c r="J120" i="19"/>
  <c r="Q152" i="19"/>
  <c r="P152" i="19"/>
  <c r="O152" i="19"/>
  <c r="N152" i="19"/>
  <c r="M152" i="19"/>
  <c r="E323" i="19"/>
  <c r="E324" i="19" s="1"/>
  <c r="E321" i="19"/>
  <c r="E322" i="19" s="1"/>
  <c r="E320" i="19"/>
  <c r="E319" i="19"/>
  <c r="E318" i="19" s="1"/>
  <c r="E317" i="19" s="1"/>
  <c r="E316" i="19" s="1"/>
  <c r="Q303" i="19"/>
  <c r="P303" i="19"/>
  <c r="O303" i="19"/>
  <c r="N303" i="19"/>
  <c r="M303" i="19"/>
  <c r="L303" i="19"/>
  <c r="K303" i="19"/>
  <c r="J303" i="19"/>
  <c r="Q275" i="19"/>
  <c r="P275" i="19"/>
  <c r="O275" i="19"/>
  <c r="N275" i="19"/>
  <c r="M275" i="19"/>
  <c r="L275" i="19"/>
  <c r="K275" i="19"/>
  <c r="J275" i="19"/>
  <c r="I275" i="19"/>
  <c r="H255" i="19"/>
  <c r="H254" i="19"/>
  <c r="H253" i="19"/>
  <c r="H252" i="19"/>
  <c r="G248" i="19"/>
  <c r="G247" i="19"/>
  <c r="Q236" i="19"/>
  <c r="M236" i="19"/>
  <c r="H236" i="19"/>
  <c r="G236" i="19"/>
  <c r="P236" i="19" s="1"/>
  <c r="O235" i="19"/>
  <c r="K235" i="19"/>
  <c r="H235" i="19"/>
  <c r="Q235" i="19" s="1"/>
  <c r="G235" i="19"/>
  <c r="N235" i="19" s="1"/>
  <c r="Q234" i="19"/>
  <c r="M234" i="19"/>
  <c r="H234" i="19"/>
  <c r="G234" i="19"/>
  <c r="P234" i="19" s="1"/>
  <c r="O233" i="19"/>
  <c r="K233" i="19"/>
  <c r="H233" i="19"/>
  <c r="Q233" i="19" s="1"/>
  <c r="G233" i="19"/>
  <c r="N233" i="19" s="1"/>
  <c r="Q232" i="19"/>
  <c r="M232" i="19"/>
  <c r="H232" i="19"/>
  <c r="Q219" i="19"/>
  <c r="P219" i="19"/>
  <c r="O219" i="19"/>
  <c r="O247" i="19" s="1"/>
  <c r="N219" i="19"/>
  <c r="M219" i="19"/>
  <c r="L219" i="19"/>
  <c r="K219" i="19"/>
  <c r="K247" i="19" s="1"/>
  <c r="J219" i="19"/>
  <c r="L197" i="19"/>
  <c r="M197" i="19" s="1"/>
  <c r="K197" i="19"/>
  <c r="J197" i="19"/>
  <c r="M196" i="19"/>
  <c r="L196" i="19"/>
  <c r="K196" i="19"/>
  <c r="J196" i="19"/>
  <c r="L195" i="19"/>
  <c r="M195" i="19" s="1"/>
  <c r="K195" i="19"/>
  <c r="J195" i="19"/>
  <c r="M194" i="19"/>
  <c r="L194" i="19"/>
  <c r="K194" i="19"/>
  <c r="G189" i="19"/>
  <c r="I181" i="19"/>
  <c r="J200" i="19" s="1"/>
  <c r="Q177" i="19"/>
  <c r="P177" i="19"/>
  <c r="O177" i="19"/>
  <c r="N177" i="19"/>
  <c r="M177" i="19"/>
  <c r="L177" i="19"/>
  <c r="K177" i="19"/>
  <c r="J177" i="19"/>
  <c r="I177" i="19"/>
  <c r="O248" i="19" s="1"/>
  <c r="G171" i="19"/>
  <c r="N166" i="19"/>
  <c r="M166" i="19"/>
  <c r="Q160" i="19"/>
  <c r="Q166" i="19" s="1"/>
  <c r="P160" i="19"/>
  <c r="P166" i="19" s="1"/>
  <c r="O160" i="19"/>
  <c r="O166" i="19" s="1"/>
  <c r="N160" i="19"/>
  <c r="M160" i="19"/>
  <c r="L160" i="19"/>
  <c r="L166" i="19" s="1"/>
  <c r="K160" i="19"/>
  <c r="K166" i="19" s="1"/>
  <c r="J160" i="19"/>
  <c r="J166" i="19" s="1"/>
  <c r="I136" i="19"/>
  <c r="H133" i="19"/>
  <c r="H137" i="19" s="1"/>
  <c r="I132" i="19"/>
  <c r="I131" i="19"/>
  <c r="I130" i="19"/>
  <c r="I133" i="19" s="1"/>
  <c r="I124" i="19"/>
  <c r="I122" i="19"/>
  <c r="I121" i="19"/>
  <c r="I120" i="19"/>
  <c r="H120" i="19"/>
  <c r="H123" i="19" s="1"/>
  <c r="H127" i="19" s="1"/>
  <c r="M24" i="19" s="1"/>
  <c r="I119" i="19"/>
  <c r="I167" i="19" s="1"/>
  <c r="J158" i="19" s="1"/>
  <c r="I94" i="19"/>
  <c r="J94" i="19" s="1"/>
  <c r="J104" i="19" s="1"/>
  <c r="J131" i="19" s="1"/>
  <c r="I100" i="19"/>
  <c r="I99" i="19"/>
  <c r="I98" i="19"/>
  <c r="I101" i="19" s="1"/>
  <c r="K94" i="19"/>
  <c r="K104" i="19" s="1"/>
  <c r="K131" i="19" s="1"/>
  <c r="I93" i="19"/>
  <c r="J93" i="19" s="1"/>
  <c r="I85" i="19"/>
  <c r="I84" i="19"/>
  <c r="I95" i="19" s="1"/>
  <c r="J95" i="19" s="1"/>
  <c r="J105" i="19" s="1"/>
  <c r="J132" i="19" s="1"/>
  <c r="K73" i="19"/>
  <c r="L73" i="19" s="1"/>
  <c r="J73" i="19"/>
  <c r="I73" i="19"/>
  <c r="H73" i="19"/>
  <c r="I72" i="19"/>
  <c r="J72" i="19" s="1"/>
  <c r="K72" i="19" s="1"/>
  <c r="L72" i="19" s="1"/>
  <c r="M72" i="19" s="1"/>
  <c r="N72" i="19" s="1"/>
  <c r="O72" i="19" s="1"/>
  <c r="P72" i="19" s="1"/>
  <c r="Q72" i="19" s="1"/>
  <c r="H72" i="19"/>
  <c r="H71" i="19"/>
  <c r="J70" i="19"/>
  <c r="K70" i="19" s="1"/>
  <c r="L70" i="19" s="1"/>
  <c r="M70" i="19" s="1"/>
  <c r="N70" i="19" s="1"/>
  <c r="O70" i="19" s="1"/>
  <c r="P70" i="19" s="1"/>
  <c r="Q70" i="19" s="1"/>
  <c r="Q69" i="19"/>
  <c r="P69" i="19"/>
  <c r="I65" i="19"/>
  <c r="I64" i="19"/>
  <c r="H64" i="19"/>
  <c r="G59" i="19"/>
  <c r="I56" i="19"/>
  <c r="I55" i="19"/>
  <c r="H55" i="19"/>
  <c r="H56" i="19" s="1"/>
  <c r="I52" i="19"/>
  <c r="I51" i="19"/>
  <c r="I71" i="19" s="1"/>
  <c r="J71" i="19" s="1"/>
  <c r="H51" i="19"/>
  <c r="I48" i="19"/>
  <c r="I69" i="19" s="1"/>
  <c r="J47" i="19"/>
  <c r="Q27" i="19"/>
  <c r="G24" i="19"/>
  <c r="T22" i="19"/>
  <c r="G252" i="19" s="1"/>
  <c r="Q22" i="19"/>
  <c r="M13" i="19"/>
  <c r="M12" i="19"/>
  <c r="M9" i="19"/>
  <c r="Q25" i="19" s="1"/>
  <c r="Q267" i="17"/>
  <c r="P267" i="17"/>
  <c r="O267" i="17"/>
  <c r="N267" i="17"/>
  <c r="M267" i="17"/>
  <c r="L267" i="17"/>
  <c r="K267" i="17"/>
  <c r="J267" i="17"/>
  <c r="Q260" i="17"/>
  <c r="P260" i="17"/>
  <c r="O260" i="17"/>
  <c r="N260" i="17"/>
  <c r="M260" i="17"/>
  <c r="L260" i="17"/>
  <c r="K260" i="17"/>
  <c r="J260" i="17"/>
  <c r="Q256" i="17"/>
  <c r="P256" i="17"/>
  <c r="O256" i="17"/>
  <c r="N256" i="17"/>
  <c r="M256" i="17"/>
  <c r="L256" i="17"/>
  <c r="K256" i="17"/>
  <c r="J256" i="17"/>
  <c r="J255" i="17"/>
  <c r="J254" i="17"/>
  <c r="J253" i="17"/>
  <c r="K252" i="17"/>
  <c r="J252" i="17"/>
  <c r="Q248" i="17"/>
  <c r="P248" i="17"/>
  <c r="O248" i="17"/>
  <c r="N248" i="17"/>
  <c r="M248" i="17"/>
  <c r="Q247" i="17"/>
  <c r="P247" i="17"/>
  <c r="P249" i="17" s="1"/>
  <c r="P266" i="17" s="1"/>
  <c r="P268" i="17" s="1"/>
  <c r="O247" i="17"/>
  <c r="N247" i="17"/>
  <c r="N249" i="17" s="1"/>
  <c r="N266" i="17" s="1"/>
  <c r="N268" i="17" s="1"/>
  <c r="M247" i="17"/>
  <c r="L247" i="17"/>
  <c r="K247" i="17"/>
  <c r="J247" i="17"/>
  <c r="Q236" i="17"/>
  <c r="P236" i="17"/>
  <c r="O236" i="17"/>
  <c r="N236" i="17"/>
  <c r="M236" i="17"/>
  <c r="L236" i="17"/>
  <c r="K236" i="17"/>
  <c r="J236" i="17"/>
  <c r="Q235" i="17"/>
  <c r="P235" i="17"/>
  <c r="O235" i="17"/>
  <c r="N235" i="17"/>
  <c r="M235" i="17"/>
  <c r="L235" i="17"/>
  <c r="K235" i="17"/>
  <c r="J235" i="17"/>
  <c r="Q234" i="17"/>
  <c r="P234" i="17"/>
  <c r="O234" i="17"/>
  <c r="N234" i="17"/>
  <c r="M234" i="17"/>
  <c r="L234" i="17"/>
  <c r="K234" i="17"/>
  <c r="J234" i="17"/>
  <c r="Q233" i="17"/>
  <c r="P233" i="17"/>
  <c r="O233" i="17"/>
  <c r="N233" i="17"/>
  <c r="M233" i="17"/>
  <c r="L233" i="17"/>
  <c r="K233" i="17"/>
  <c r="J233" i="17"/>
  <c r="Q232" i="17"/>
  <c r="P232" i="17"/>
  <c r="O232" i="17"/>
  <c r="N232" i="17"/>
  <c r="M232" i="17"/>
  <c r="L232" i="17"/>
  <c r="K232" i="17"/>
  <c r="J232" i="17"/>
  <c r="E323" i="17"/>
  <c r="E324" i="17" s="1"/>
  <c r="E321" i="17"/>
  <c r="E322" i="17" s="1"/>
  <c r="E320" i="17"/>
  <c r="E319" i="17"/>
  <c r="E318" i="17" s="1"/>
  <c r="E317" i="17" s="1"/>
  <c r="E316" i="17" s="1"/>
  <c r="Q303" i="17"/>
  <c r="P303" i="17"/>
  <c r="O303" i="17"/>
  <c r="N303" i="17"/>
  <c r="M303" i="17"/>
  <c r="L303" i="17"/>
  <c r="K303" i="17"/>
  <c r="J303" i="17"/>
  <c r="Q275" i="17"/>
  <c r="P275" i="17"/>
  <c r="O275" i="17"/>
  <c r="N275" i="17"/>
  <c r="M275" i="17"/>
  <c r="L275" i="17"/>
  <c r="K275" i="17"/>
  <c r="J275" i="17"/>
  <c r="I275" i="17"/>
  <c r="H255" i="17"/>
  <c r="H254" i="17"/>
  <c r="H253" i="17"/>
  <c r="H252" i="17"/>
  <c r="G248" i="17"/>
  <c r="G247" i="17"/>
  <c r="H236" i="17"/>
  <c r="G236" i="17"/>
  <c r="H235" i="17"/>
  <c r="G235" i="17"/>
  <c r="H234" i="17"/>
  <c r="G234" i="17"/>
  <c r="H233" i="17"/>
  <c r="G233" i="17"/>
  <c r="H232" i="17"/>
  <c r="Q219" i="17"/>
  <c r="P219" i="17"/>
  <c r="O219" i="17"/>
  <c r="N219" i="17"/>
  <c r="M219" i="17"/>
  <c r="L219" i="17"/>
  <c r="K219" i="17"/>
  <c r="J219" i="17"/>
  <c r="J197" i="17"/>
  <c r="K197" i="17" s="1"/>
  <c r="J196" i="17"/>
  <c r="K196" i="17" s="1"/>
  <c r="J195" i="17"/>
  <c r="K195" i="17" s="1"/>
  <c r="N194" i="17"/>
  <c r="O194" i="17" s="1"/>
  <c r="L194" i="17"/>
  <c r="M194" i="17" s="1"/>
  <c r="K194" i="17"/>
  <c r="I189" i="17"/>
  <c r="G189" i="17"/>
  <c r="I181" i="17"/>
  <c r="Q177" i="17"/>
  <c r="P177" i="17"/>
  <c r="O177" i="17"/>
  <c r="N177" i="17"/>
  <c r="M177" i="17"/>
  <c r="L177" i="17"/>
  <c r="K177" i="17"/>
  <c r="J177" i="17"/>
  <c r="I177" i="17"/>
  <c r="G171" i="17"/>
  <c r="O166" i="17"/>
  <c r="Q160" i="17"/>
  <c r="Q166" i="17" s="1"/>
  <c r="P160" i="17"/>
  <c r="P166" i="17" s="1"/>
  <c r="O160" i="17"/>
  <c r="N160" i="17"/>
  <c r="N166" i="17" s="1"/>
  <c r="M160" i="17"/>
  <c r="M166" i="17" s="1"/>
  <c r="L160" i="17"/>
  <c r="L166" i="17" s="1"/>
  <c r="K160" i="17"/>
  <c r="K166" i="17" s="1"/>
  <c r="J160" i="17"/>
  <c r="J166" i="17" s="1"/>
  <c r="Q141" i="17"/>
  <c r="P141" i="17"/>
  <c r="O141" i="17"/>
  <c r="N141" i="17"/>
  <c r="M141" i="17"/>
  <c r="L141" i="17"/>
  <c r="K141" i="17"/>
  <c r="J141" i="17"/>
  <c r="I136" i="17"/>
  <c r="H133" i="17"/>
  <c r="H137" i="17" s="1"/>
  <c r="H140" i="17" s="1"/>
  <c r="I132" i="17"/>
  <c r="I131" i="17"/>
  <c r="I130" i="17"/>
  <c r="I124" i="17"/>
  <c r="I122" i="17"/>
  <c r="I121" i="17"/>
  <c r="H120" i="17"/>
  <c r="I98" i="17" s="1"/>
  <c r="I88" i="17" s="1"/>
  <c r="I119" i="17"/>
  <c r="I167" i="17" s="1"/>
  <c r="J158" i="17" s="1"/>
  <c r="I101" i="17"/>
  <c r="I100" i="17"/>
  <c r="I99" i="17"/>
  <c r="I94" i="17"/>
  <c r="J94" i="17" s="1"/>
  <c r="J104" i="17" s="1"/>
  <c r="I89" i="17"/>
  <c r="J89" i="17" s="1"/>
  <c r="J88" i="17"/>
  <c r="I84" i="17"/>
  <c r="I85" i="17" s="1"/>
  <c r="I73" i="17"/>
  <c r="J73" i="17" s="1"/>
  <c r="H73" i="17"/>
  <c r="L72" i="17"/>
  <c r="M72" i="17" s="1"/>
  <c r="N72" i="17" s="1"/>
  <c r="O72" i="17" s="1"/>
  <c r="P72" i="17" s="1"/>
  <c r="Q72" i="17" s="1"/>
  <c r="K72" i="17"/>
  <c r="J72" i="17"/>
  <c r="I72" i="17"/>
  <c r="H72" i="17"/>
  <c r="J71" i="17"/>
  <c r="J70" i="17"/>
  <c r="K70" i="17" s="1"/>
  <c r="L70" i="17" s="1"/>
  <c r="M70" i="17" s="1"/>
  <c r="N70" i="17" s="1"/>
  <c r="O70" i="17" s="1"/>
  <c r="P70" i="17" s="1"/>
  <c r="Q70" i="17" s="1"/>
  <c r="P69" i="17"/>
  <c r="Q69" i="17" s="1"/>
  <c r="I65" i="17"/>
  <c r="I64" i="17"/>
  <c r="H64" i="17"/>
  <c r="G59" i="17"/>
  <c r="I57" i="17"/>
  <c r="I55" i="17"/>
  <c r="I56" i="17" s="1"/>
  <c r="H55" i="17"/>
  <c r="H56" i="17" s="1"/>
  <c r="J54" i="17"/>
  <c r="I52" i="17"/>
  <c r="I51" i="17"/>
  <c r="I71" i="17" s="1"/>
  <c r="H51" i="17"/>
  <c r="H71" i="17" s="1"/>
  <c r="I48" i="17"/>
  <c r="I69" i="17" s="1"/>
  <c r="J47" i="17"/>
  <c r="Q27" i="17"/>
  <c r="M25" i="17"/>
  <c r="G24" i="17"/>
  <c r="T22" i="17"/>
  <c r="G252" i="17" s="1"/>
  <c r="Q22" i="17"/>
  <c r="M13" i="17"/>
  <c r="M12" i="17"/>
  <c r="M9" i="17"/>
  <c r="Q23" i="17" s="1"/>
  <c r="J163" i="16"/>
  <c r="I189" i="16"/>
  <c r="J204" i="16"/>
  <c r="J203" i="16"/>
  <c r="J202" i="16"/>
  <c r="J201" i="16"/>
  <c r="J200" i="16"/>
  <c r="I185" i="16"/>
  <c r="I184" i="16"/>
  <c r="I183" i="16"/>
  <c r="I182" i="16"/>
  <c r="I181" i="16"/>
  <c r="E323" i="16"/>
  <c r="E324" i="16" s="1"/>
  <c r="E321" i="16"/>
  <c r="E322" i="16" s="1"/>
  <c r="E320" i="16"/>
  <c r="E319" i="16"/>
  <c r="E318" i="16" s="1"/>
  <c r="E317" i="16" s="1"/>
  <c r="E316" i="16" s="1"/>
  <c r="Q303" i="16"/>
  <c r="P303" i="16"/>
  <c r="O303" i="16"/>
  <c r="N303" i="16"/>
  <c r="M303" i="16"/>
  <c r="L303" i="16"/>
  <c r="K303" i="16"/>
  <c r="J303" i="16"/>
  <c r="Q275" i="16"/>
  <c r="P275" i="16"/>
  <c r="O275" i="16"/>
  <c r="N275" i="16"/>
  <c r="M275" i="16"/>
  <c r="L275" i="16"/>
  <c r="K275" i="16"/>
  <c r="J275" i="16"/>
  <c r="I275" i="16"/>
  <c r="H255" i="16"/>
  <c r="H254" i="16"/>
  <c r="H253" i="16"/>
  <c r="H252" i="16"/>
  <c r="G248" i="16"/>
  <c r="G247" i="16"/>
  <c r="H236" i="16"/>
  <c r="G236" i="16"/>
  <c r="H235" i="16"/>
  <c r="G235" i="16"/>
  <c r="H234" i="16"/>
  <c r="G234" i="16"/>
  <c r="H233" i="16"/>
  <c r="G233" i="16"/>
  <c r="H232" i="16"/>
  <c r="Q219" i="16"/>
  <c r="P219" i="16"/>
  <c r="O219" i="16"/>
  <c r="N219" i="16"/>
  <c r="M219" i="16"/>
  <c r="L219" i="16"/>
  <c r="K219" i="16"/>
  <c r="J219" i="16"/>
  <c r="N197" i="16"/>
  <c r="O197" i="16" s="1"/>
  <c r="P197" i="16" s="1"/>
  <c r="Q197" i="16" s="1"/>
  <c r="J197" i="16"/>
  <c r="K197" i="16" s="1"/>
  <c r="L197" i="16" s="1"/>
  <c r="M197" i="16" s="1"/>
  <c r="J196" i="16"/>
  <c r="K196" i="16" s="1"/>
  <c r="L196" i="16" s="1"/>
  <c r="M196" i="16" s="1"/>
  <c r="O196" i="16" s="1"/>
  <c r="P196" i="16" s="1"/>
  <c r="Q196" i="16" s="1"/>
  <c r="N195" i="16"/>
  <c r="O195" i="16" s="1"/>
  <c r="P195" i="16" s="1"/>
  <c r="Q195" i="16" s="1"/>
  <c r="J195" i="16"/>
  <c r="K195" i="16" s="1"/>
  <c r="L195" i="16" s="1"/>
  <c r="M195" i="16" s="1"/>
  <c r="L194" i="16"/>
  <c r="M194" i="16" s="1"/>
  <c r="N194" i="16" s="1"/>
  <c r="O194" i="16" s="1"/>
  <c r="P194" i="16" s="1"/>
  <c r="Q194" i="16" s="1"/>
  <c r="K194" i="16"/>
  <c r="G189" i="16"/>
  <c r="Q177" i="16"/>
  <c r="P177" i="16"/>
  <c r="O177" i="16"/>
  <c r="N177" i="16"/>
  <c r="M177" i="16"/>
  <c r="L177" i="16"/>
  <c r="K177" i="16"/>
  <c r="J177" i="16"/>
  <c r="G171" i="16"/>
  <c r="Q166" i="16"/>
  <c r="M166" i="16"/>
  <c r="Q160" i="16"/>
  <c r="P160" i="16"/>
  <c r="P166" i="16" s="1"/>
  <c r="O160" i="16"/>
  <c r="O166" i="16" s="1"/>
  <c r="N160" i="16"/>
  <c r="N166" i="16" s="1"/>
  <c r="M160" i="16"/>
  <c r="L160" i="16"/>
  <c r="L166" i="16" s="1"/>
  <c r="K160" i="16"/>
  <c r="K166" i="16" s="1"/>
  <c r="J160" i="16"/>
  <c r="J166" i="16" s="1"/>
  <c r="Q141" i="16"/>
  <c r="P141" i="16"/>
  <c r="O141" i="16"/>
  <c r="N141" i="16"/>
  <c r="M141" i="16"/>
  <c r="L141" i="16"/>
  <c r="K141" i="16"/>
  <c r="J141" i="16"/>
  <c r="H137" i="16"/>
  <c r="H140" i="16" s="1"/>
  <c r="I136" i="16"/>
  <c r="H133" i="16"/>
  <c r="I132" i="16"/>
  <c r="I131" i="16"/>
  <c r="I130" i="16"/>
  <c r="I124" i="16"/>
  <c r="I122" i="16"/>
  <c r="I121" i="16"/>
  <c r="H120" i="16"/>
  <c r="I119" i="16"/>
  <c r="I167" i="16" s="1"/>
  <c r="J158" i="16" s="1"/>
  <c r="I95" i="16"/>
  <c r="J95" i="16" s="1"/>
  <c r="J105" i="16" s="1"/>
  <c r="I100" i="16"/>
  <c r="I99" i="16"/>
  <c r="I98" i="16"/>
  <c r="I101" i="16" s="1"/>
  <c r="I85" i="16"/>
  <c r="I89" i="16" s="1"/>
  <c r="J89" i="16" s="1"/>
  <c r="I84" i="16"/>
  <c r="I94" i="16" s="1"/>
  <c r="J94" i="16" s="1"/>
  <c r="K94" i="16" s="1"/>
  <c r="K104" i="16" s="1"/>
  <c r="K73" i="16"/>
  <c r="L73" i="16" s="1"/>
  <c r="I73" i="16"/>
  <c r="J73" i="16" s="1"/>
  <c r="H73" i="16"/>
  <c r="I72" i="16"/>
  <c r="J72" i="16" s="1"/>
  <c r="K72" i="16" s="1"/>
  <c r="L72" i="16" s="1"/>
  <c r="M72" i="16" s="1"/>
  <c r="N72" i="16" s="1"/>
  <c r="O72" i="16" s="1"/>
  <c r="P72" i="16" s="1"/>
  <c r="Q72" i="16" s="1"/>
  <c r="H72" i="16"/>
  <c r="K71" i="16"/>
  <c r="L71" i="16" s="1"/>
  <c r="H71" i="16"/>
  <c r="M70" i="16"/>
  <c r="N70" i="16" s="1"/>
  <c r="O70" i="16" s="1"/>
  <c r="P70" i="16" s="1"/>
  <c r="Q70" i="16" s="1"/>
  <c r="J70" i="16"/>
  <c r="K70" i="16" s="1"/>
  <c r="L70" i="16" s="1"/>
  <c r="Q69" i="16"/>
  <c r="P69" i="16"/>
  <c r="I65" i="16"/>
  <c r="I64" i="16"/>
  <c r="H64" i="16"/>
  <c r="G59" i="16"/>
  <c r="I57" i="16"/>
  <c r="I56" i="16"/>
  <c r="I55" i="16"/>
  <c r="H55" i="16"/>
  <c r="H56" i="16" s="1"/>
  <c r="I52" i="16"/>
  <c r="I51" i="16"/>
  <c r="I71" i="16" s="1"/>
  <c r="J71" i="16" s="1"/>
  <c r="H51" i="16"/>
  <c r="I48" i="16"/>
  <c r="I69" i="16" s="1"/>
  <c r="J47" i="16"/>
  <c r="Q27" i="16"/>
  <c r="R27" i="16" s="1"/>
  <c r="Q25" i="16"/>
  <c r="T25" i="16" s="1"/>
  <c r="G254" i="16" s="1"/>
  <c r="M25" i="16"/>
  <c r="G24" i="16"/>
  <c r="Q23" i="16"/>
  <c r="R23" i="16" s="1"/>
  <c r="T22" i="16"/>
  <c r="G252" i="16" s="1"/>
  <c r="Q22" i="16"/>
  <c r="Q24" i="16" s="1"/>
  <c r="M13" i="16"/>
  <c r="M12" i="16"/>
  <c r="M9" i="16"/>
  <c r="M11" i="16" s="1"/>
  <c r="M14" i="16" s="1"/>
  <c r="Q166" i="15"/>
  <c r="N166" i="15"/>
  <c r="M166" i="15"/>
  <c r="Q160" i="15"/>
  <c r="P160" i="15"/>
  <c r="P166" i="15" s="1"/>
  <c r="O160" i="15"/>
  <c r="O166" i="15" s="1"/>
  <c r="N160" i="15"/>
  <c r="M160" i="15"/>
  <c r="L160" i="15"/>
  <c r="L166" i="15" s="1"/>
  <c r="K160" i="15"/>
  <c r="K166" i="15" s="1"/>
  <c r="J166" i="15"/>
  <c r="J160" i="15"/>
  <c r="J158" i="15"/>
  <c r="I167" i="15"/>
  <c r="Q155" i="15"/>
  <c r="P155" i="15"/>
  <c r="O155" i="15"/>
  <c r="N155" i="15"/>
  <c r="M155" i="15"/>
  <c r="L155" i="15"/>
  <c r="K155" i="15"/>
  <c r="J155" i="15"/>
  <c r="Q151" i="15"/>
  <c r="P151" i="15"/>
  <c r="O151" i="15"/>
  <c r="N151" i="15"/>
  <c r="M151" i="15"/>
  <c r="L151" i="15"/>
  <c r="K151" i="15"/>
  <c r="J151" i="15"/>
  <c r="Q150" i="15"/>
  <c r="P150" i="15"/>
  <c r="O150" i="15"/>
  <c r="N150" i="15"/>
  <c r="M150" i="15"/>
  <c r="L150" i="15"/>
  <c r="K150" i="15"/>
  <c r="J150" i="15"/>
  <c r="E323" i="15"/>
  <c r="E324" i="15" s="1"/>
  <c r="E321" i="15"/>
  <c r="E322" i="15" s="1"/>
  <c r="E320" i="15"/>
  <c r="E319" i="15"/>
  <c r="E318" i="15" s="1"/>
  <c r="E317" i="15" s="1"/>
  <c r="E316" i="15" s="1"/>
  <c r="Q303" i="15"/>
  <c r="P303" i="15"/>
  <c r="O303" i="15"/>
  <c r="N303" i="15"/>
  <c r="M303" i="15"/>
  <c r="L303" i="15"/>
  <c r="K303" i="15"/>
  <c r="J303" i="15"/>
  <c r="Q275" i="15"/>
  <c r="P275" i="15"/>
  <c r="O275" i="15"/>
  <c r="N275" i="15"/>
  <c r="M275" i="15"/>
  <c r="L275" i="15"/>
  <c r="K275" i="15"/>
  <c r="J275" i="15"/>
  <c r="I275" i="15"/>
  <c r="H255" i="15"/>
  <c r="H254" i="15"/>
  <c r="H253" i="15"/>
  <c r="H252" i="15"/>
  <c r="G248" i="15"/>
  <c r="G247" i="15"/>
  <c r="H236" i="15"/>
  <c r="G236" i="15"/>
  <c r="H235" i="15"/>
  <c r="G235" i="15"/>
  <c r="H234" i="15"/>
  <c r="G234" i="15"/>
  <c r="H233" i="15"/>
  <c r="G233" i="15"/>
  <c r="H232" i="15"/>
  <c r="Q219" i="15"/>
  <c r="P219" i="15"/>
  <c r="O219" i="15"/>
  <c r="N219" i="15"/>
  <c r="M219" i="15"/>
  <c r="L219" i="15"/>
  <c r="K219" i="15"/>
  <c r="J219" i="15"/>
  <c r="N197" i="15"/>
  <c r="O197" i="15" s="1"/>
  <c r="P197" i="15" s="1"/>
  <c r="Q197" i="15" s="1"/>
  <c r="J197" i="15"/>
  <c r="K197" i="15" s="1"/>
  <c r="L197" i="15" s="1"/>
  <c r="M197" i="15" s="1"/>
  <c r="J196" i="15"/>
  <c r="K196" i="15" s="1"/>
  <c r="L196" i="15" s="1"/>
  <c r="M196" i="15" s="1"/>
  <c r="N196" i="15" s="1"/>
  <c r="O196" i="15" s="1"/>
  <c r="P196" i="15" s="1"/>
  <c r="Q196" i="15" s="1"/>
  <c r="N195" i="15"/>
  <c r="O195" i="15" s="1"/>
  <c r="P195" i="15" s="1"/>
  <c r="Q195" i="15" s="1"/>
  <c r="J195" i="15"/>
  <c r="K195" i="15" s="1"/>
  <c r="L195" i="15" s="1"/>
  <c r="M195" i="15" s="1"/>
  <c r="L194" i="15"/>
  <c r="M194" i="15" s="1"/>
  <c r="N194" i="15" s="1"/>
  <c r="O194" i="15" s="1"/>
  <c r="P194" i="15" s="1"/>
  <c r="Q194" i="15" s="1"/>
  <c r="K194" i="15"/>
  <c r="G189" i="15"/>
  <c r="Q186" i="15"/>
  <c r="P186" i="15"/>
  <c r="O186" i="15"/>
  <c r="N186" i="15"/>
  <c r="M186" i="15"/>
  <c r="L186" i="15"/>
  <c r="K186" i="15"/>
  <c r="J186" i="15"/>
  <c r="Q177" i="15"/>
  <c r="P177" i="15"/>
  <c r="O177" i="15"/>
  <c r="N177" i="15"/>
  <c r="M177" i="15"/>
  <c r="L177" i="15"/>
  <c r="K177" i="15"/>
  <c r="J177" i="15"/>
  <c r="G171" i="15"/>
  <c r="Q141" i="15"/>
  <c r="P141" i="15"/>
  <c r="O141" i="15"/>
  <c r="N141" i="15"/>
  <c r="M141" i="15"/>
  <c r="L141" i="15"/>
  <c r="K141" i="15"/>
  <c r="J141" i="15"/>
  <c r="I136" i="15"/>
  <c r="I133" i="15"/>
  <c r="H133" i="15"/>
  <c r="H137" i="15" s="1"/>
  <c r="H140" i="15" s="1"/>
  <c r="H141" i="15" s="1"/>
  <c r="I132" i="15"/>
  <c r="I131" i="15"/>
  <c r="I130" i="15"/>
  <c r="I124" i="15"/>
  <c r="I122" i="15"/>
  <c r="I121" i="15"/>
  <c r="I120" i="15"/>
  <c r="H120" i="15"/>
  <c r="H123" i="15" s="1"/>
  <c r="H127" i="15" s="1"/>
  <c r="I119" i="15"/>
  <c r="I123" i="15" s="1"/>
  <c r="I100" i="15"/>
  <c r="I99" i="15"/>
  <c r="I98" i="15"/>
  <c r="I84" i="15"/>
  <c r="I88" i="15" s="1"/>
  <c r="J73" i="15"/>
  <c r="K73" i="15" s="1"/>
  <c r="L73" i="15" s="1"/>
  <c r="M73" i="15" s="1"/>
  <c r="N73" i="15" s="1"/>
  <c r="O73" i="15" s="1"/>
  <c r="P73" i="15" s="1"/>
  <c r="Q73" i="15" s="1"/>
  <c r="I73" i="15"/>
  <c r="H73" i="15"/>
  <c r="J72" i="15"/>
  <c r="K72" i="15" s="1"/>
  <c r="L72" i="15" s="1"/>
  <c r="M72" i="15" s="1"/>
  <c r="N72" i="15" s="1"/>
  <c r="O72" i="15" s="1"/>
  <c r="P72" i="15" s="1"/>
  <c r="Q72" i="15" s="1"/>
  <c r="I72" i="15"/>
  <c r="H72" i="15"/>
  <c r="J71" i="15"/>
  <c r="K71" i="15" s="1"/>
  <c r="L71" i="15" s="1"/>
  <c r="L70" i="15"/>
  <c r="M70" i="15" s="1"/>
  <c r="N70" i="15" s="1"/>
  <c r="O70" i="15" s="1"/>
  <c r="P70" i="15" s="1"/>
  <c r="Q70" i="15" s="1"/>
  <c r="J70" i="15"/>
  <c r="K70" i="15" s="1"/>
  <c r="P69" i="15"/>
  <c r="Q69" i="15" s="1"/>
  <c r="I65" i="15"/>
  <c r="I64" i="15"/>
  <c r="H64" i="15"/>
  <c r="G59" i="15"/>
  <c r="I55" i="15"/>
  <c r="I56" i="15" s="1"/>
  <c r="H55" i="15"/>
  <c r="H56" i="15" s="1"/>
  <c r="I52" i="15"/>
  <c r="I51" i="15"/>
  <c r="I71" i="15" s="1"/>
  <c r="H51" i="15"/>
  <c r="H71" i="15" s="1"/>
  <c r="J50" i="15"/>
  <c r="J52" i="15" s="1"/>
  <c r="J48" i="15"/>
  <c r="I48" i="15"/>
  <c r="I69" i="15" s="1"/>
  <c r="K47" i="15"/>
  <c r="K84" i="15" s="1"/>
  <c r="K85" i="15" s="1"/>
  <c r="J47" i="15"/>
  <c r="J84" i="15" s="1"/>
  <c r="J85" i="15" s="1"/>
  <c r="M25" i="15"/>
  <c r="M24" i="15"/>
  <c r="G24" i="15"/>
  <c r="T22" i="15"/>
  <c r="G252" i="15" s="1"/>
  <c r="Q22" i="15"/>
  <c r="M13" i="15"/>
  <c r="M12" i="15"/>
  <c r="M9" i="15"/>
  <c r="Q27" i="15" s="1"/>
  <c r="I119" i="14"/>
  <c r="I123" i="14" s="1"/>
  <c r="I127" i="14" s="1"/>
  <c r="I125" i="14"/>
  <c r="I126" i="14"/>
  <c r="I135" i="14"/>
  <c r="I139" i="14"/>
  <c r="I137" i="14"/>
  <c r="I136" i="14"/>
  <c r="I133" i="14"/>
  <c r="I132" i="14"/>
  <c r="I131" i="14"/>
  <c r="I130" i="14"/>
  <c r="I124" i="14"/>
  <c r="I122" i="14"/>
  <c r="I121" i="14"/>
  <c r="I120" i="14"/>
  <c r="E323" i="14"/>
  <c r="E324" i="14" s="1"/>
  <c r="E321" i="14"/>
  <c r="E322" i="14" s="1"/>
  <c r="E320" i="14"/>
  <c r="E319" i="14"/>
  <c r="E318" i="14" s="1"/>
  <c r="E317" i="14" s="1"/>
  <c r="E316" i="14" s="1"/>
  <c r="Q303" i="14"/>
  <c r="P303" i="14"/>
  <c r="O303" i="14"/>
  <c r="N303" i="14"/>
  <c r="M303" i="14"/>
  <c r="L303" i="14"/>
  <c r="K303" i="14"/>
  <c r="J303" i="14"/>
  <c r="Q275" i="14"/>
  <c r="P275" i="14"/>
  <c r="O275" i="14"/>
  <c r="N275" i="14"/>
  <c r="M275" i="14"/>
  <c r="L275" i="14"/>
  <c r="K275" i="14"/>
  <c r="J275" i="14"/>
  <c r="I275" i="14"/>
  <c r="H255" i="14"/>
  <c r="H254" i="14"/>
  <c r="H253" i="14"/>
  <c r="H252" i="14"/>
  <c r="G248" i="14"/>
  <c r="G247" i="14"/>
  <c r="H236" i="14"/>
  <c r="G236" i="14"/>
  <c r="H235" i="14"/>
  <c r="G235" i="14"/>
  <c r="H234" i="14"/>
  <c r="G234" i="14"/>
  <c r="H233" i="14"/>
  <c r="G233" i="14"/>
  <c r="H232" i="14"/>
  <c r="Q219" i="14"/>
  <c r="P219" i="14"/>
  <c r="O219" i="14"/>
  <c r="N219" i="14"/>
  <c r="M219" i="14"/>
  <c r="L219" i="14"/>
  <c r="K219" i="14"/>
  <c r="J219" i="14"/>
  <c r="N197" i="14"/>
  <c r="O197" i="14" s="1"/>
  <c r="P197" i="14" s="1"/>
  <c r="Q197" i="14" s="1"/>
  <c r="J197" i="14"/>
  <c r="K197" i="14" s="1"/>
  <c r="L197" i="14" s="1"/>
  <c r="M197" i="14" s="1"/>
  <c r="J196" i="14"/>
  <c r="K196" i="14" s="1"/>
  <c r="L196" i="14" s="1"/>
  <c r="M196" i="14" s="1"/>
  <c r="N196" i="14" s="1"/>
  <c r="O196" i="14" s="1"/>
  <c r="P196" i="14" s="1"/>
  <c r="Q196" i="14" s="1"/>
  <c r="N195" i="14"/>
  <c r="O195" i="14" s="1"/>
  <c r="P195" i="14" s="1"/>
  <c r="Q195" i="14" s="1"/>
  <c r="J195" i="14"/>
  <c r="K195" i="14" s="1"/>
  <c r="L195" i="14" s="1"/>
  <c r="M195" i="14" s="1"/>
  <c r="L194" i="14"/>
  <c r="M194" i="14" s="1"/>
  <c r="N194" i="14" s="1"/>
  <c r="O194" i="14" s="1"/>
  <c r="P194" i="14" s="1"/>
  <c r="Q194" i="14" s="1"/>
  <c r="K194" i="14"/>
  <c r="G189" i="14"/>
  <c r="Q186" i="14"/>
  <c r="P186" i="14"/>
  <c r="O186" i="14"/>
  <c r="N186" i="14"/>
  <c r="M186" i="14"/>
  <c r="L186" i="14"/>
  <c r="K186" i="14"/>
  <c r="J186" i="14"/>
  <c r="Q177" i="14"/>
  <c r="P177" i="14"/>
  <c r="O177" i="14"/>
  <c r="N177" i="14"/>
  <c r="M177" i="14"/>
  <c r="L177" i="14"/>
  <c r="K177" i="14"/>
  <c r="J177" i="14"/>
  <c r="I177" i="14"/>
  <c r="G171" i="14"/>
  <c r="Q141" i="14"/>
  <c r="P141" i="14"/>
  <c r="O141" i="14"/>
  <c r="N141" i="14"/>
  <c r="M141" i="14"/>
  <c r="L141" i="14"/>
  <c r="K141" i="14"/>
  <c r="J141" i="14"/>
  <c r="H137" i="14"/>
  <c r="H140" i="14" s="1"/>
  <c r="H141" i="14" s="1"/>
  <c r="H133" i="14"/>
  <c r="H127" i="14"/>
  <c r="H120" i="14"/>
  <c r="H123" i="14" s="1"/>
  <c r="I100" i="14"/>
  <c r="I99" i="14"/>
  <c r="I84" i="14"/>
  <c r="J73" i="14"/>
  <c r="K73" i="14" s="1"/>
  <c r="L73" i="14" s="1"/>
  <c r="M73" i="14" s="1"/>
  <c r="N73" i="14" s="1"/>
  <c r="O73" i="14" s="1"/>
  <c r="P73" i="14" s="1"/>
  <c r="Q73" i="14" s="1"/>
  <c r="I73" i="14"/>
  <c r="H73" i="14"/>
  <c r="N72" i="14"/>
  <c r="O72" i="14" s="1"/>
  <c r="P72" i="14" s="1"/>
  <c r="Q72" i="14" s="1"/>
  <c r="L72" i="14"/>
  <c r="M72" i="14" s="1"/>
  <c r="J72" i="14"/>
  <c r="K72" i="14" s="1"/>
  <c r="I72" i="14"/>
  <c r="H72" i="14"/>
  <c r="J71" i="14"/>
  <c r="L70" i="14"/>
  <c r="M70" i="14" s="1"/>
  <c r="N70" i="14" s="1"/>
  <c r="O70" i="14" s="1"/>
  <c r="P70" i="14" s="1"/>
  <c r="Q70" i="14" s="1"/>
  <c r="J70" i="14"/>
  <c r="K70" i="14" s="1"/>
  <c r="P69" i="14"/>
  <c r="Q69" i="14" s="1"/>
  <c r="I65" i="14"/>
  <c r="I64" i="14"/>
  <c r="H64" i="14"/>
  <c r="G59" i="14"/>
  <c r="H56" i="14"/>
  <c r="I55" i="14"/>
  <c r="I56" i="14" s="1"/>
  <c r="H55" i="14"/>
  <c r="I57" i="14" s="1"/>
  <c r="I52" i="14"/>
  <c r="I51" i="14"/>
  <c r="I71" i="14" s="1"/>
  <c r="H51" i="14"/>
  <c r="H71" i="14" s="1"/>
  <c r="I48" i="14"/>
  <c r="I69" i="14" s="1"/>
  <c r="J47" i="14"/>
  <c r="J84" i="14" s="1"/>
  <c r="J85" i="14" s="1"/>
  <c r="Q25" i="14"/>
  <c r="M25" i="14"/>
  <c r="M24" i="14"/>
  <c r="G24" i="14"/>
  <c r="T22" i="14"/>
  <c r="G252" i="14" s="1"/>
  <c r="Q22" i="14"/>
  <c r="M13" i="14"/>
  <c r="M12" i="14"/>
  <c r="M11" i="14"/>
  <c r="M14" i="14" s="1"/>
  <c r="G20" i="14" s="1"/>
  <c r="M9" i="14"/>
  <c r="Q27" i="14" s="1"/>
  <c r="I92" i="13"/>
  <c r="J92" i="13" s="1"/>
  <c r="I99" i="13"/>
  <c r="I98" i="13"/>
  <c r="I88" i="13" s="1"/>
  <c r="J88" i="13" s="1"/>
  <c r="J83" i="13"/>
  <c r="J84" i="13" s="1"/>
  <c r="I84" i="13"/>
  <c r="I89" i="13" s="1"/>
  <c r="J89" i="13" s="1"/>
  <c r="K89" i="13" s="1"/>
  <c r="L89" i="13" s="1"/>
  <c r="M89" i="13" s="1"/>
  <c r="N89" i="13" s="1"/>
  <c r="O89" i="13" s="1"/>
  <c r="P89" i="13" s="1"/>
  <c r="Q89" i="13" s="1"/>
  <c r="I83" i="13"/>
  <c r="I93" i="13" s="1"/>
  <c r="J93" i="13" s="1"/>
  <c r="E319" i="13"/>
  <c r="E320" i="13" s="1"/>
  <c r="E321" i="13" s="1"/>
  <c r="E322" i="13" s="1"/>
  <c r="E323" i="13" s="1"/>
  <c r="Q302" i="13"/>
  <c r="P302" i="13"/>
  <c r="O302" i="13"/>
  <c r="N302" i="13"/>
  <c r="M302" i="13"/>
  <c r="L302" i="13"/>
  <c r="K302" i="13"/>
  <c r="J302" i="13"/>
  <c r="Q274" i="13"/>
  <c r="P274" i="13"/>
  <c r="O274" i="13"/>
  <c r="N274" i="13"/>
  <c r="M274" i="13"/>
  <c r="L274" i="13"/>
  <c r="K274" i="13"/>
  <c r="J274" i="13"/>
  <c r="I274" i="13"/>
  <c r="H254" i="13"/>
  <c r="H253" i="13"/>
  <c r="H252" i="13"/>
  <c r="H251" i="13"/>
  <c r="G247" i="13"/>
  <c r="G246" i="13"/>
  <c r="H235" i="13"/>
  <c r="G235" i="13"/>
  <c r="H234" i="13"/>
  <c r="G234" i="13"/>
  <c r="H233" i="13"/>
  <c r="G233" i="13"/>
  <c r="H232" i="13"/>
  <c r="G232" i="13"/>
  <c r="H231" i="13"/>
  <c r="Q218" i="13"/>
  <c r="P218" i="13"/>
  <c r="O218" i="13"/>
  <c r="N218" i="13"/>
  <c r="M218" i="13"/>
  <c r="L218" i="13"/>
  <c r="K218" i="13"/>
  <c r="J218" i="13"/>
  <c r="K196" i="13"/>
  <c r="L196" i="13" s="1"/>
  <c r="M196" i="13" s="1"/>
  <c r="N196" i="13" s="1"/>
  <c r="O196" i="13" s="1"/>
  <c r="P196" i="13" s="1"/>
  <c r="Q196" i="13" s="1"/>
  <c r="J196" i="13"/>
  <c r="J195" i="13"/>
  <c r="K195" i="13" s="1"/>
  <c r="L195" i="13" s="1"/>
  <c r="M195" i="13" s="1"/>
  <c r="N195" i="13" s="1"/>
  <c r="O195" i="13" s="1"/>
  <c r="P195" i="13" s="1"/>
  <c r="Q195" i="13" s="1"/>
  <c r="K194" i="13"/>
  <c r="L194" i="13" s="1"/>
  <c r="M194" i="13" s="1"/>
  <c r="N194" i="13" s="1"/>
  <c r="O194" i="13" s="1"/>
  <c r="P194" i="13" s="1"/>
  <c r="Q194" i="13" s="1"/>
  <c r="J194" i="13"/>
  <c r="K193" i="13"/>
  <c r="L193" i="13" s="1"/>
  <c r="M193" i="13" s="1"/>
  <c r="N193" i="13" s="1"/>
  <c r="O193" i="13" s="1"/>
  <c r="P193" i="13" s="1"/>
  <c r="Q193" i="13" s="1"/>
  <c r="G188" i="13"/>
  <c r="Q185" i="13"/>
  <c r="P185" i="13"/>
  <c r="O185" i="13"/>
  <c r="N185" i="13"/>
  <c r="M185" i="13"/>
  <c r="L185" i="13"/>
  <c r="K185" i="13"/>
  <c r="J185" i="13"/>
  <c r="Q176" i="13"/>
  <c r="P176" i="13"/>
  <c r="O176" i="13"/>
  <c r="N176" i="13"/>
  <c r="M176" i="13"/>
  <c r="L176" i="13"/>
  <c r="K176" i="13"/>
  <c r="J176" i="13"/>
  <c r="I176" i="13"/>
  <c r="G170" i="13"/>
  <c r="Q140" i="13"/>
  <c r="P140" i="13"/>
  <c r="O140" i="13"/>
  <c r="N140" i="13"/>
  <c r="M140" i="13"/>
  <c r="L140" i="13"/>
  <c r="K140" i="13"/>
  <c r="J140" i="13"/>
  <c r="I140" i="13"/>
  <c r="H132" i="13"/>
  <c r="H136" i="13" s="1"/>
  <c r="H119" i="13"/>
  <c r="H122" i="13" s="1"/>
  <c r="H126" i="13" s="1"/>
  <c r="M24" i="13" s="1"/>
  <c r="I73" i="13"/>
  <c r="J73" i="13" s="1"/>
  <c r="K73" i="13" s="1"/>
  <c r="L73" i="13" s="1"/>
  <c r="M73" i="13" s="1"/>
  <c r="N73" i="13" s="1"/>
  <c r="O73" i="13" s="1"/>
  <c r="P73" i="13" s="1"/>
  <c r="Q73" i="13" s="1"/>
  <c r="H73" i="13"/>
  <c r="J72" i="13"/>
  <c r="K72" i="13" s="1"/>
  <c r="L72" i="13" s="1"/>
  <c r="M72" i="13" s="1"/>
  <c r="N72" i="13" s="1"/>
  <c r="O72" i="13" s="1"/>
  <c r="P72" i="13" s="1"/>
  <c r="Q72" i="13" s="1"/>
  <c r="I72" i="13"/>
  <c r="H72" i="13"/>
  <c r="K70" i="13"/>
  <c r="L70" i="13" s="1"/>
  <c r="M70" i="13" s="1"/>
  <c r="N70" i="13" s="1"/>
  <c r="O70" i="13" s="1"/>
  <c r="P70" i="13" s="1"/>
  <c r="Q70" i="13" s="1"/>
  <c r="J70" i="13"/>
  <c r="P69" i="13"/>
  <c r="Q69" i="13" s="1"/>
  <c r="I65" i="13"/>
  <c r="I64" i="13"/>
  <c r="H64" i="13"/>
  <c r="G59" i="13"/>
  <c r="I57" i="13"/>
  <c r="I55" i="13"/>
  <c r="I56" i="13" s="1"/>
  <c r="H55" i="13"/>
  <c r="H56" i="13" s="1"/>
  <c r="I52" i="13"/>
  <c r="I51" i="13"/>
  <c r="I71" i="13" s="1"/>
  <c r="J71" i="13" s="1"/>
  <c r="K71" i="13" s="1"/>
  <c r="L71" i="13" s="1"/>
  <c r="H51" i="13"/>
  <c r="H71" i="13" s="1"/>
  <c r="I48" i="13"/>
  <c r="I69" i="13" s="1"/>
  <c r="J47" i="13"/>
  <c r="J48" i="13" s="1"/>
  <c r="G24" i="13"/>
  <c r="T22" i="13"/>
  <c r="G251" i="13" s="1"/>
  <c r="Q22" i="13"/>
  <c r="M13" i="13"/>
  <c r="M12" i="13"/>
  <c r="M9" i="13"/>
  <c r="Q23" i="13" s="1"/>
  <c r="J54" i="12"/>
  <c r="K47" i="12"/>
  <c r="K54" i="12" s="1"/>
  <c r="J47" i="12"/>
  <c r="E319" i="12"/>
  <c r="E320" i="12" s="1"/>
  <c r="E321" i="12" s="1"/>
  <c r="E322" i="12" s="1"/>
  <c r="E323" i="12" s="1"/>
  <c r="Q302" i="12"/>
  <c r="P302" i="12"/>
  <c r="O302" i="12"/>
  <c r="N302" i="12"/>
  <c r="M302" i="12"/>
  <c r="L302" i="12"/>
  <c r="K302" i="12"/>
  <c r="J302" i="12"/>
  <c r="Q274" i="12"/>
  <c r="P274" i="12"/>
  <c r="O274" i="12"/>
  <c r="N274" i="12"/>
  <c r="M274" i="12"/>
  <c r="L274" i="12"/>
  <c r="K274" i="12"/>
  <c r="J274" i="12"/>
  <c r="I274" i="12"/>
  <c r="H254" i="12"/>
  <c r="H253" i="12"/>
  <c r="H252" i="12"/>
  <c r="H251" i="12"/>
  <c r="G247" i="12"/>
  <c r="G246" i="12"/>
  <c r="H235" i="12"/>
  <c r="G235" i="12"/>
  <c r="H234" i="12"/>
  <c r="G234" i="12"/>
  <c r="H233" i="12"/>
  <c r="G233" i="12"/>
  <c r="H232" i="12"/>
  <c r="G232" i="12"/>
  <c r="H231" i="12"/>
  <c r="Q218" i="12"/>
  <c r="P218" i="12"/>
  <c r="O218" i="12"/>
  <c r="N218" i="12"/>
  <c r="M218" i="12"/>
  <c r="L218" i="12"/>
  <c r="K218" i="12"/>
  <c r="J218" i="12"/>
  <c r="J196" i="12"/>
  <c r="K196" i="12" s="1"/>
  <c r="L196" i="12" s="1"/>
  <c r="M196" i="12" s="1"/>
  <c r="N196" i="12" s="1"/>
  <c r="O196" i="12" s="1"/>
  <c r="P196" i="12" s="1"/>
  <c r="Q196" i="12" s="1"/>
  <c r="J195" i="12"/>
  <c r="K195" i="12" s="1"/>
  <c r="L195" i="12" s="1"/>
  <c r="M195" i="12" s="1"/>
  <c r="N195" i="12" s="1"/>
  <c r="O195" i="12" s="1"/>
  <c r="P195" i="12" s="1"/>
  <c r="Q195" i="12" s="1"/>
  <c r="J194" i="12"/>
  <c r="K194" i="12" s="1"/>
  <c r="L194" i="12" s="1"/>
  <c r="M194" i="12" s="1"/>
  <c r="N194" i="12" s="1"/>
  <c r="O194" i="12" s="1"/>
  <c r="P194" i="12" s="1"/>
  <c r="Q194" i="12" s="1"/>
  <c r="L193" i="12"/>
  <c r="M193" i="12" s="1"/>
  <c r="N193" i="12" s="1"/>
  <c r="O193" i="12" s="1"/>
  <c r="P193" i="12" s="1"/>
  <c r="Q193" i="12" s="1"/>
  <c r="K193" i="12"/>
  <c r="G188" i="12"/>
  <c r="Q185" i="12"/>
  <c r="P185" i="12"/>
  <c r="O185" i="12"/>
  <c r="N185" i="12"/>
  <c r="M185" i="12"/>
  <c r="L185" i="12"/>
  <c r="K185" i="12"/>
  <c r="J185" i="12"/>
  <c r="Q176" i="12"/>
  <c r="P176" i="12"/>
  <c r="O176" i="12"/>
  <c r="N176" i="12"/>
  <c r="M176" i="12"/>
  <c r="L176" i="12"/>
  <c r="K176" i="12"/>
  <c r="J176" i="12"/>
  <c r="I176" i="12"/>
  <c r="G170" i="12"/>
  <c r="Q140" i="12"/>
  <c r="P140" i="12"/>
  <c r="O140" i="12"/>
  <c r="N140" i="12"/>
  <c r="M140" i="12"/>
  <c r="L140" i="12"/>
  <c r="K140" i="12"/>
  <c r="J140" i="12"/>
  <c r="I140" i="12"/>
  <c r="H132" i="12"/>
  <c r="H136" i="12" s="1"/>
  <c r="H119" i="12"/>
  <c r="H122" i="12" s="1"/>
  <c r="H126" i="12" s="1"/>
  <c r="M24" i="12" s="1"/>
  <c r="I72" i="12"/>
  <c r="J72" i="12" s="1"/>
  <c r="K72" i="12" s="1"/>
  <c r="L72" i="12" s="1"/>
  <c r="M72" i="12" s="1"/>
  <c r="N72" i="12" s="1"/>
  <c r="O72" i="12" s="1"/>
  <c r="P72" i="12" s="1"/>
  <c r="Q72" i="12" s="1"/>
  <c r="H72" i="12"/>
  <c r="J71" i="12"/>
  <c r="K71" i="12" s="1"/>
  <c r="L71" i="12" s="1"/>
  <c r="M71" i="12" s="1"/>
  <c r="N71" i="12" s="1"/>
  <c r="O71" i="12" s="1"/>
  <c r="P71" i="12" s="1"/>
  <c r="Q71" i="12" s="1"/>
  <c r="I71" i="12"/>
  <c r="H71" i="12"/>
  <c r="H70" i="12"/>
  <c r="J69" i="12"/>
  <c r="K69" i="12" s="1"/>
  <c r="L69" i="12" s="1"/>
  <c r="M69" i="12" s="1"/>
  <c r="N69" i="12" s="1"/>
  <c r="O69" i="12" s="1"/>
  <c r="P69" i="12" s="1"/>
  <c r="Q69" i="12" s="1"/>
  <c r="P68" i="12"/>
  <c r="Q68" i="12" s="1"/>
  <c r="I65" i="12"/>
  <c r="I64" i="12"/>
  <c r="H64" i="12"/>
  <c r="G59" i="12"/>
  <c r="I56" i="12"/>
  <c r="I55" i="12"/>
  <c r="H55" i="12"/>
  <c r="H56" i="12" s="1"/>
  <c r="I52" i="12"/>
  <c r="I51" i="12"/>
  <c r="I70" i="12" s="1"/>
  <c r="J70" i="12" s="1"/>
  <c r="K70" i="12" s="1"/>
  <c r="L70" i="12" s="1"/>
  <c r="M70" i="12" s="1"/>
  <c r="N70" i="12" s="1"/>
  <c r="O70" i="12" s="1"/>
  <c r="P70" i="12" s="1"/>
  <c r="Q70" i="12" s="1"/>
  <c r="H51" i="12"/>
  <c r="K48" i="12"/>
  <c r="I48" i="12"/>
  <c r="I68" i="12" s="1"/>
  <c r="G24" i="12"/>
  <c r="T22" i="12"/>
  <c r="G251" i="12" s="1"/>
  <c r="Q22" i="12"/>
  <c r="M13" i="12"/>
  <c r="M12" i="12"/>
  <c r="M9" i="12"/>
  <c r="Q25" i="12" s="1"/>
  <c r="G16" i="11"/>
  <c r="G17" i="11" s="1"/>
  <c r="H16" i="11" s="1"/>
  <c r="G25" i="11"/>
  <c r="G24" i="11"/>
  <c r="G20" i="11"/>
  <c r="G15" i="11"/>
  <c r="G14" i="11"/>
  <c r="G13" i="11"/>
  <c r="G12" i="11"/>
  <c r="E321" i="11"/>
  <c r="E322" i="11" s="1"/>
  <c r="E323" i="11" s="1"/>
  <c r="E324" i="11" s="1"/>
  <c r="E320" i="11"/>
  <c r="E319" i="11"/>
  <c r="E318" i="11" s="1"/>
  <c r="E317" i="11" s="1"/>
  <c r="E316" i="11" s="1"/>
  <c r="Q303" i="11"/>
  <c r="P303" i="11"/>
  <c r="O303" i="11"/>
  <c r="N303" i="11"/>
  <c r="M303" i="11"/>
  <c r="L303" i="11"/>
  <c r="K303" i="11"/>
  <c r="J303" i="11"/>
  <c r="Q275" i="11"/>
  <c r="P275" i="11"/>
  <c r="O275" i="11"/>
  <c r="N275" i="11"/>
  <c r="M275" i="11"/>
  <c r="L275" i="11"/>
  <c r="K275" i="11"/>
  <c r="J275" i="11"/>
  <c r="I275" i="11"/>
  <c r="H255" i="11"/>
  <c r="H254" i="11"/>
  <c r="H253" i="11"/>
  <c r="H252" i="11"/>
  <c r="G248" i="11"/>
  <c r="G247" i="11"/>
  <c r="H236" i="11"/>
  <c r="G236" i="11"/>
  <c r="H235" i="11"/>
  <c r="G235" i="11"/>
  <c r="H234" i="11"/>
  <c r="G234" i="11"/>
  <c r="H233" i="11"/>
  <c r="G233" i="11"/>
  <c r="H232" i="11"/>
  <c r="Q219" i="11"/>
  <c r="P219" i="11"/>
  <c r="O219" i="11"/>
  <c r="N219" i="11"/>
  <c r="M219" i="11"/>
  <c r="L219" i="11"/>
  <c r="K219" i="11"/>
  <c r="J219" i="11"/>
  <c r="J197" i="11"/>
  <c r="K197" i="11" s="1"/>
  <c r="L197" i="11" s="1"/>
  <c r="M197" i="11" s="1"/>
  <c r="N197" i="11" s="1"/>
  <c r="O197" i="11" s="1"/>
  <c r="P197" i="11" s="1"/>
  <c r="Q197" i="11" s="1"/>
  <c r="J196" i="11"/>
  <c r="K196" i="11" s="1"/>
  <c r="L196" i="11" s="1"/>
  <c r="M196" i="11" s="1"/>
  <c r="N196" i="11" s="1"/>
  <c r="O196" i="11" s="1"/>
  <c r="P196" i="11" s="1"/>
  <c r="Q196" i="11" s="1"/>
  <c r="J195" i="11"/>
  <c r="K195" i="11" s="1"/>
  <c r="L195" i="11" s="1"/>
  <c r="M195" i="11" s="1"/>
  <c r="N195" i="11" s="1"/>
  <c r="O195" i="11" s="1"/>
  <c r="P195" i="11" s="1"/>
  <c r="Q195" i="11" s="1"/>
  <c r="L194" i="11"/>
  <c r="M194" i="11" s="1"/>
  <c r="N194" i="11" s="1"/>
  <c r="O194" i="11" s="1"/>
  <c r="P194" i="11" s="1"/>
  <c r="Q194" i="11" s="1"/>
  <c r="K194" i="11"/>
  <c r="G189" i="11"/>
  <c r="Q186" i="11"/>
  <c r="P186" i="11"/>
  <c r="O186" i="11"/>
  <c r="N186" i="11"/>
  <c r="M186" i="11"/>
  <c r="L186" i="11"/>
  <c r="K186" i="11"/>
  <c r="J186" i="11"/>
  <c r="Q177" i="11"/>
  <c r="P177" i="11"/>
  <c r="O177" i="11"/>
  <c r="N177" i="11"/>
  <c r="M177" i="11"/>
  <c r="L177" i="11"/>
  <c r="K177" i="11"/>
  <c r="J177" i="11"/>
  <c r="I177" i="11"/>
  <c r="G171" i="11"/>
  <c r="Q141" i="11"/>
  <c r="P141" i="11"/>
  <c r="O141" i="11"/>
  <c r="N141" i="11"/>
  <c r="M141" i="11"/>
  <c r="L141" i="11"/>
  <c r="K141" i="11"/>
  <c r="J141" i="11"/>
  <c r="I141" i="11"/>
  <c r="H137" i="11"/>
  <c r="H140" i="11" s="1"/>
  <c r="H133" i="11"/>
  <c r="H120" i="11"/>
  <c r="H123" i="11" s="1"/>
  <c r="H127" i="11" s="1"/>
  <c r="M24" i="11" s="1"/>
  <c r="J73" i="11"/>
  <c r="K73" i="11" s="1"/>
  <c r="L73" i="11" s="1"/>
  <c r="M73" i="11" s="1"/>
  <c r="N73" i="11" s="1"/>
  <c r="O73" i="11" s="1"/>
  <c r="P73" i="11" s="1"/>
  <c r="Q73" i="11" s="1"/>
  <c r="I73" i="11"/>
  <c r="H73" i="11"/>
  <c r="J72" i="11"/>
  <c r="K72" i="11" s="1"/>
  <c r="L72" i="11" s="1"/>
  <c r="M72" i="11" s="1"/>
  <c r="N72" i="11" s="1"/>
  <c r="O72" i="11" s="1"/>
  <c r="P72" i="11" s="1"/>
  <c r="Q72" i="11" s="1"/>
  <c r="I72" i="11"/>
  <c r="H72" i="11"/>
  <c r="H71" i="11"/>
  <c r="J70" i="11"/>
  <c r="K70" i="11" s="1"/>
  <c r="L70" i="11" s="1"/>
  <c r="M70" i="11" s="1"/>
  <c r="N70" i="11" s="1"/>
  <c r="O70" i="11" s="1"/>
  <c r="P70" i="11" s="1"/>
  <c r="Q70" i="11" s="1"/>
  <c r="P69" i="11"/>
  <c r="Q69" i="11" s="1"/>
  <c r="Q65" i="11"/>
  <c r="P65" i="11"/>
  <c r="O65" i="11"/>
  <c r="N65" i="11"/>
  <c r="M65" i="11"/>
  <c r="L65" i="11"/>
  <c r="K65" i="11"/>
  <c r="J65" i="11"/>
  <c r="I65" i="11"/>
  <c r="Q64" i="11"/>
  <c r="P64" i="11"/>
  <c r="O64" i="11"/>
  <c r="N64" i="11"/>
  <c r="M64" i="11"/>
  <c r="L64" i="11"/>
  <c r="K64" i="11"/>
  <c r="J64" i="11"/>
  <c r="I64" i="11"/>
  <c r="H64" i="11"/>
  <c r="G59" i="11"/>
  <c r="Q57" i="11"/>
  <c r="P57" i="11"/>
  <c r="O57" i="11"/>
  <c r="N57" i="11"/>
  <c r="M57" i="11"/>
  <c r="L57" i="11"/>
  <c r="K57" i="11"/>
  <c r="Q56" i="11"/>
  <c r="P56" i="11"/>
  <c r="O56" i="11"/>
  <c r="N56" i="11"/>
  <c r="M56" i="11"/>
  <c r="L56" i="11"/>
  <c r="K56" i="11"/>
  <c r="J56" i="11"/>
  <c r="I55" i="11"/>
  <c r="I56" i="11" s="1"/>
  <c r="H55" i="11"/>
  <c r="H56" i="11" s="1"/>
  <c r="Q52" i="11"/>
  <c r="P52" i="11"/>
  <c r="O52" i="11"/>
  <c r="N52" i="11"/>
  <c r="M52" i="11"/>
  <c r="L52" i="11"/>
  <c r="K52" i="11"/>
  <c r="J52" i="11"/>
  <c r="I52" i="11"/>
  <c r="Q51" i="11"/>
  <c r="P51" i="11"/>
  <c r="O51" i="11"/>
  <c r="N51" i="11"/>
  <c r="M51" i="11"/>
  <c r="L51" i="11"/>
  <c r="K51" i="11"/>
  <c r="J51" i="11"/>
  <c r="I51" i="11"/>
  <c r="I71" i="11" s="1"/>
  <c r="J71" i="11" s="1"/>
  <c r="K71" i="11" s="1"/>
  <c r="L71" i="11" s="1"/>
  <c r="M71" i="11" s="1"/>
  <c r="N71" i="11" s="1"/>
  <c r="O71" i="11" s="1"/>
  <c r="P71" i="11" s="1"/>
  <c r="Q71" i="11" s="1"/>
  <c r="H51" i="11"/>
  <c r="Q48" i="11"/>
  <c r="P48" i="11"/>
  <c r="O48" i="11"/>
  <c r="N48" i="11"/>
  <c r="M48" i="11"/>
  <c r="L48" i="11"/>
  <c r="K48" i="11"/>
  <c r="J48" i="11"/>
  <c r="I48" i="11"/>
  <c r="I69" i="11" s="1"/>
  <c r="G26" i="11"/>
  <c r="H21" i="11" s="1"/>
  <c r="M25" i="11"/>
  <c r="T22" i="11"/>
  <c r="G252" i="11" s="1"/>
  <c r="Q22" i="11"/>
  <c r="M13" i="11"/>
  <c r="M12" i="11"/>
  <c r="M9" i="11"/>
  <c r="Q25" i="11" s="1"/>
  <c r="T22" i="10"/>
  <c r="T28" i="10" s="1"/>
  <c r="T27" i="10"/>
  <c r="T25" i="10"/>
  <c r="G254" i="10" s="1"/>
  <c r="T23" i="10"/>
  <c r="G253" i="10" s="1"/>
  <c r="Q28" i="10"/>
  <c r="Q26" i="10"/>
  <c r="Q24" i="10"/>
  <c r="Q27" i="10"/>
  <c r="Q25" i="10"/>
  <c r="Q23" i="10"/>
  <c r="Q22" i="10"/>
  <c r="E321" i="10"/>
  <c r="E322" i="10" s="1"/>
  <c r="E323" i="10" s="1"/>
  <c r="E324" i="10" s="1"/>
  <c r="E320" i="10"/>
  <c r="E319" i="10"/>
  <c r="E318" i="10" s="1"/>
  <c r="E317" i="10" s="1"/>
  <c r="E316" i="10" s="1"/>
  <c r="Q303" i="10"/>
  <c r="P303" i="10"/>
  <c r="O303" i="10"/>
  <c r="N303" i="10"/>
  <c r="M303" i="10"/>
  <c r="L303" i="10"/>
  <c r="K303" i="10"/>
  <c r="J303" i="10"/>
  <c r="Q275" i="10"/>
  <c r="P275" i="10"/>
  <c r="O275" i="10"/>
  <c r="N275" i="10"/>
  <c r="M275" i="10"/>
  <c r="L275" i="10"/>
  <c r="K275" i="10"/>
  <c r="J275" i="10"/>
  <c r="I275" i="10"/>
  <c r="H255" i="10"/>
  <c r="G255" i="10"/>
  <c r="H254" i="10"/>
  <c r="H253" i="10"/>
  <c r="H252" i="10"/>
  <c r="G248" i="10"/>
  <c r="G247" i="10"/>
  <c r="H236" i="10"/>
  <c r="G236" i="10"/>
  <c r="H235" i="10"/>
  <c r="G235" i="10"/>
  <c r="H234" i="10"/>
  <c r="G234" i="10"/>
  <c r="H233" i="10"/>
  <c r="G233" i="10"/>
  <c r="H232" i="10"/>
  <c r="Q219" i="10"/>
  <c r="P219" i="10"/>
  <c r="O219" i="10"/>
  <c r="N219" i="10"/>
  <c r="M219" i="10"/>
  <c r="L219" i="10"/>
  <c r="K219" i="10"/>
  <c r="J219" i="10"/>
  <c r="J197" i="10"/>
  <c r="K197" i="10" s="1"/>
  <c r="L197" i="10" s="1"/>
  <c r="M197" i="10" s="1"/>
  <c r="N197" i="10" s="1"/>
  <c r="O197" i="10" s="1"/>
  <c r="P197" i="10" s="1"/>
  <c r="Q197" i="10" s="1"/>
  <c r="J196" i="10"/>
  <c r="K196" i="10" s="1"/>
  <c r="L196" i="10" s="1"/>
  <c r="M196" i="10" s="1"/>
  <c r="N196" i="10" s="1"/>
  <c r="O196" i="10" s="1"/>
  <c r="P196" i="10" s="1"/>
  <c r="Q196" i="10" s="1"/>
  <c r="J195" i="10"/>
  <c r="K195" i="10" s="1"/>
  <c r="L195" i="10" s="1"/>
  <c r="M195" i="10" s="1"/>
  <c r="N195" i="10" s="1"/>
  <c r="O195" i="10" s="1"/>
  <c r="P195" i="10" s="1"/>
  <c r="Q195" i="10" s="1"/>
  <c r="L194" i="10"/>
  <c r="M194" i="10" s="1"/>
  <c r="N194" i="10" s="1"/>
  <c r="O194" i="10" s="1"/>
  <c r="P194" i="10" s="1"/>
  <c r="Q194" i="10" s="1"/>
  <c r="K194" i="10"/>
  <c r="G189" i="10"/>
  <c r="Q186" i="10"/>
  <c r="P186" i="10"/>
  <c r="O186" i="10"/>
  <c r="N186" i="10"/>
  <c r="M186" i="10"/>
  <c r="L186" i="10"/>
  <c r="K186" i="10"/>
  <c r="J186" i="10"/>
  <c r="Q177" i="10"/>
  <c r="P177" i="10"/>
  <c r="O177" i="10"/>
  <c r="N177" i="10"/>
  <c r="M177" i="10"/>
  <c r="L177" i="10"/>
  <c r="K177" i="10"/>
  <c r="J177" i="10"/>
  <c r="I177" i="10"/>
  <c r="G171" i="10"/>
  <c r="Q141" i="10"/>
  <c r="P141" i="10"/>
  <c r="O141" i="10"/>
  <c r="N141" i="10"/>
  <c r="M141" i="10"/>
  <c r="L141" i="10"/>
  <c r="K141" i="10"/>
  <c r="J141" i="10"/>
  <c r="I141" i="10"/>
  <c r="H137" i="10"/>
  <c r="H140" i="10" s="1"/>
  <c r="H141" i="10" s="1"/>
  <c r="M32" i="10" s="1"/>
  <c r="H133" i="10"/>
  <c r="H120" i="10"/>
  <c r="H123" i="10" s="1"/>
  <c r="H127" i="10" s="1"/>
  <c r="M24" i="10" s="1"/>
  <c r="J73" i="10"/>
  <c r="K73" i="10" s="1"/>
  <c r="L73" i="10" s="1"/>
  <c r="M73" i="10" s="1"/>
  <c r="N73" i="10" s="1"/>
  <c r="O73" i="10" s="1"/>
  <c r="P73" i="10" s="1"/>
  <c r="Q73" i="10" s="1"/>
  <c r="I73" i="10"/>
  <c r="H73" i="10"/>
  <c r="J72" i="10"/>
  <c r="K72" i="10" s="1"/>
  <c r="L72" i="10" s="1"/>
  <c r="M72" i="10" s="1"/>
  <c r="N72" i="10" s="1"/>
  <c r="O72" i="10" s="1"/>
  <c r="P72" i="10" s="1"/>
  <c r="Q72" i="10" s="1"/>
  <c r="I72" i="10"/>
  <c r="H72" i="10"/>
  <c r="H71" i="10"/>
  <c r="J70" i="10"/>
  <c r="K70" i="10" s="1"/>
  <c r="L70" i="10" s="1"/>
  <c r="M70" i="10" s="1"/>
  <c r="N70" i="10" s="1"/>
  <c r="O70" i="10" s="1"/>
  <c r="P70" i="10" s="1"/>
  <c r="Q70" i="10" s="1"/>
  <c r="P69" i="10"/>
  <c r="Q69" i="10" s="1"/>
  <c r="Q65" i="10"/>
  <c r="P65" i="10"/>
  <c r="O65" i="10"/>
  <c r="N65" i="10"/>
  <c r="M65" i="10"/>
  <c r="L65" i="10"/>
  <c r="K65" i="10"/>
  <c r="J65" i="10"/>
  <c r="I65" i="10"/>
  <c r="Q64" i="10"/>
  <c r="P64" i="10"/>
  <c r="O64" i="10"/>
  <c r="N64" i="10"/>
  <c r="M64" i="10"/>
  <c r="L64" i="10"/>
  <c r="K64" i="10"/>
  <c r="J64" i="10"/>
  <c r="I64" i="10"/>
  <c r="H64" i="10"/>
  <c r="G59" i="10"/>
  <c r="Q57" i="10"/>
  <c r="P57" i="10"/>
  <c r="O57" i="10"/>
  <c r="N57" i="10"/>
  <c r="M57" i="10"/>
  <c r="L57" i="10"/>
  <c r="K57" i="10"/>
  <c r="Q56" i="10"/>
  <c r="P56" i="10"/>
  <c r="O56" i="10"/>
  <c r="N56" i="10"/>
  <c r="M56" i="10"/>
  <c r="L56" i="10"/>
  <c r="K56" i="10"/>
  <c r="J56" i="10"/>
  <c r="I55" i="10"/>
  <c r="I56" i="10" s="1"/>
  <c r="H55" i="10"/>
  <c r="H56" i="10" s="1"/>
  <c r="Q52" i="10"/>
  <c r="P52" i="10"/>
  <c r="O52" i="10"/>
  <c r="N52" i="10"/>
  <c r="M52" i="10"/>
  <c r="L52" i="10"/>
  <c r="K52" i="10"/>
  <c r="J52" i="10"/>
  <c r="I52" i="10"/>
  <c r="Q51" i="10"/>
  <c r="P51" i="10"/>
  <c r="O51" i="10"/>
  <c r="N51" i="10"/>
  <c r="M51" i="10"/>
  <c r="L51" i="10"/>
  <c r="K51" i="10"/>
  <c r="J51" i="10"/>
  <c r="I51" i="10"/>
  <c r="I71" i="10" s="1"/>
  <c r="J71" i="10" s="1"/>
  <c r="K71" i="10" s="1"/>
  <c r="L71" i="10" s="1"/>
  <c r="M71" i="10" s="1"/>
  <c r="N71" i="10" s="1"/>
  <c r="O71" i="10" s="1"/>
  <c r="P71" i="10" s="1"/>
  <c r="Q71" i="10" s="1"/>
  <c r="H51" i="10"/>
  <c r="Q48" i="10"/>
  <c r="P48" i="10"/>
  <c r="O48" i="10"/>
  <c r="N48" i="10"/>
  <c r="M48" i="10"/>
  <c r="L48" i="10"/>
  <c r="K48" i="10"/>
  <c r="J48" i="10"/>
  <c r="I48" i="10"/>
  <c r="I69" i="10" s="1"/>
  <c r="H26" i="10"/>
  <c r="G26" i="10"/>
  <c r="G27" i="10" s="1"/>
  <c r="M33" i="10" s="1"/>
  <c r="M25" i="10"/>
  <c r="H25" i="10"/>
  <c r="H24" i="10"/>
  <c r="H23" i="10"/>
  <c r="H22" i="10"/>
  <c r="H21" i="10"/>
  <c r="H20" i="10"/>
  <c r="G17" i="10"/>
  <c r="H16" i="10" s="1"/>
  <c r="H14" i="10"/>
  <c r="M13" i="10"/>
  <c r="M12" i="10"/>
  <c r="H12" i="10"/>
  <c r="M9" i="10"/>
  <c r="M26" i="9"/>
  <c r="M25" i="9"/>
  <c r="M24" i="9"/>
  <c r="M23" i="9"/>
  <c r="E320" i="9"/>
  <c r="E321" i="9" s="1"/>
  <c r="E322" i="9" s="1"/>
  <c r="E323" i="9" s="1"/>
  <c r="E324" i="9" s="1"/>
  <c r="E319" i="9"/>
  <c r="E318" i="9" s="1"/>
  <c r="E317" i="9" s="1"/>
  <c r="E316" i="9" s="1"/>
  <c r="Q303" i="9"/>
  <c r="P303" i="9"/>
  <c r="O303" i="9"/>
  <c r="N303" i="9"/>
  <c r="M303" i="9"/>
  <c r="L303" i="9"/>
  <c r="K303" i="9"/>
  <c r="J303" i="9"/>
  <c r="Q275" i="9"/>
  <c r="P275" i="9"/>
  <c r="O275" i="9"/>
  <c r="N275" i="9"/>
  <c r="M275" i="9"/>
  <c r="L275" i="9"/>
  <c r="K275" i="9"/>
  <c r="J275" i="9"/>
  <c r="I275" i="9"/>
  <c r="H255" i="9"/>
  <c r="G255" i="9"/>
  <c r="H254" i="9"/>
  <c r="G254" i="9"/>
  <c r="H253" i="9"/>
  <c r="G253" i="9"/>
  <c r="H252" i="9"/>
  <c r="G252" i="9"/>
  <c r="G248" i="9"/>
  <c r="G247" i="9"/>
  <c r="H236" i="9"/>
  <c r="G236" i="9"/>
  <c r="H235" i="9"/>
  <c r="G235" i="9"/>
  <c r="H234" i="9"/>
  <c r="G234" i="9"/>
  <c r="H233" i="9"/>
  <c r="G233" i="9"/>
  <c r="H232" i="9"/>
  <c r="Q219" i="9"/>
  <c r="P219" i="9"/>
  <c r="O219" i="9"/>
  <c r="N219" i="9"/>
  <c r="M219" i="9"/>
  <c r="L219" i="9"/>
  <c r="K219" i="9"/>
  <c r="J219" i="9"/>
  <c r="J197" i="9"/>
  <c r="K197" i="9" s="1"/>
  <c r="L197" i="9" s="1"/>
  <c r="M197" i="9" s="1"/>
  <c r="N197" i="9" s="1"/>
  <c r="O197" i="9" s="1"/>
  <c r="P197" i="9" s="1"/>
  <c r="Q197" i="9" s="1"/>
  <c r="J196" i="9"/>
  <c r="K196" i="9" s="1"/>
  <c r="L196" i="9" s="1"/>
  <c r="M196" i="9" s="1"/>
  <c r="N196" i="9" s="1"/>
  <c r="O196" i="9" s="1"/>
  <c r="P196" i="9" s="1"/>
  <c r="Q196" i="9" s="1"/>
  <c r="J195" i="9"/>
  <c r="K195" i="9" s="1"/>
  <c r="L195" i="9" s="1"/>
  <c r="M195" i="9" s="1"/>
  <c r="N195" i="9" s="1"/>
  <c r="O195" i="9" s="1"/>
  <c r="P195" i="9" s="1"/>
  <c r="Q195" i="9" s="1"/>
  <c r="K194" i="9"/>
  <c r="L194" i="9" s="1"/>
  <c r="M194" i="9" s="1"/>
  <c r="N194" i="9" s="1"/>
  <c r="O194" i="9" s="1"/>
  <c r="P194" i="9" s="1"/>
  <c r="Q194" i="9" s="1"/>
  <c r="G189" i="9"/>
  <c r="Q186" i="9"/>
  <c r="P186" i="9"/>
  <c r="O186" i="9"/>
  <c r="N186" i="9"/>
  <c r="M186" i="9"/>
  <c r="L186" i="9"/>
  <c r="K186" i="9"/>
  <c r="J186" i="9"/>
  <c r="Q177" i="9"/>
  <c r="P177" i="9"/>
  <c r="O177" i="9"/>
  <c r="N177" i="9"/>
  <c r="M177" i="9"/>
  <c r="L177" i="9"/>
  <c r="K177" i="9"/>
  <c r="J177" i="9"/>
  <c r="I177" i="9"/>
  <c r="G171" i="9"/>
  <c r="Q141" i="9"/>
  <c r="P141" i="9"/>
  <c r="O141" i="9"/>
  <c r="N141" i="9"/>
  <c r="M141" i="9"/>
  <c r="L141" i="9"/>
  <c r="K141" i="9"/>
  <c r="J141" i="9"/>
  <c r="I141" i="9"/>
  <c r="H133" i="9"/>
  <c r="H137" i="9" s="1"/>
  <c r="H140" i="9" s="1"/>
  <c r="H141" i="9" s="1"/>
  <c r="M32" i="9" s="1"/>
  <c r="H120" i="9"/>
  <c r="H123" i="9" s="1"/>
  <c r="H127" i="9" s="1"/>
  <c r="I73" i="9"/>
  <c r="J73" i="9" s="1"/>
  <c r="K73" i="9" s="1"/>
  <c r="L73" i="9" s="1"/>
  <c r="M73" i="9" s="1"/>
  <c r="N73" i="9" s="1"/>
  <c r="O73" i="9" s="1"/>
  <c r="P73" i="9" s="1"/>
  <c r="Q73" i="9" s="1"/>
  <c r="H73" i="9"/>
  <c r="J72" i="9"/>
  <c r="K72" i="9" s="1"/>
  <c r="L72" i="9" s="1"/>
  <c r="M72" i="9" s="1"/>
  <c r="N72" i="9" s="1"/>
  <c r="O72" i="9" s="1"/>
  <c r="P72" i="9" s="1"/>
  <c r="Q72" i="9" s="1"/>
  <c r="I72" i="9"/>
  <c r="H72" i="9"/>
  <c r="I71" i="9"/>
  <c r="J71" i="9" s="1"/>
  <c r="K71" i="9" s="1"/>
  <c r="L71" i="9" s="1"/>
  <c r="M71" i="9" s="1"/>
  <c r="N71" i="9" s="1"/>
  <c r="O71" i="9" s="1"/>
  <c r="P71" i="9" s="1"/>
  <c r="Q71" i="9" s="1"/>
  <c r="H71" i="9"/>
  <c r="J70" i="9"/>
  <c r="K70" i="9" s="1"/>
  <c r="L70" i="9" s="1"/>
  <c r="M70" i="9" s="1"/>
  <c r="N70" i="9" s="1"/>
  <c r="O70" i="9" s="1"/>
  <c r="P70" i="9" s="1"/>
  <c r="Q70" i="9" s="1"/>
  <c r="P69" i="9"/>
  <c r="Q69" i="9" s="1"/>
  <c r="Q65" i="9"/>
  <c r="P65" i="9"/>
  <c r="O65" i="9"/>
  <c r="N65" i="9"/>
  <c r="M65" i="9"/>
  <c r="L65" i="9"/>
  <c r="K65" i="9"/>
  <c r="J65" i="9"/>
  <c r="I65" i="9"/>
  <c r="Q64" i="9"/>
  <c r="P64" i="9"/>
  <c r="O64" i="9"/>
  <c r="N64" i="9"/>
  <c r="M64" i="9"/>
  <c r="L64" i="9"/>
  <c r="K64" i="9"/>
  <c r="J64" i="9"/>
  <c r="I64" i="9"/>
  <c r="H64" i="9"/>
  <c r="G59" i="9"/>
  <c r="Q57" i="9"/>
  <c r="P57" i="9"/>
  <c r="O57" i="9"/>
  <c r="N57" i="9"/>
  <c r="M57" i="9"/>
  <c r="L57" i="9"/>
  <c r="K57" i="9"/>
  <c r="Q56" i="9"/>
  <c r="P56" i="9"/>
  <c r="O56" i="9"/>
  <c r="N56" i="9"/>
  <c r="M56" i="9"/>
  <c r="L56" i="9"/>
  <c r="K56" i="9"/>
  <c r="J56" i="9"/>
  <c r="I55" i="9"/>
  <c r="I56" i="9" s="1"/>
  <c r="H55" i="9"/>
  <c r="H56" i="9" s="1"/>
  <c r="Q52" i="9"/>
  <c r="P52" i="9"/>
  <c r="O52" i="9"/>
  <c r="N52" i="9"/>
  <c r="M52" i="9"/>
  <c r="L52" i="9"/>
  <c r="K52" i="9"/>
  <c r="J52" i="9"/>
  <c r="I52" i="9"/>
  <c r="Q51" i="9"/>
  <c r="P51" i="9"/>
  <c r="O51" i="9"/>
  <c r="N51" i="9"/>
  <c r="M51" i="9"/>
  <c r="L51" i="9"/>
  <c r="K51" i="9"/>
  <c r="J51" i="9"/>
  <c r="I51" i="9"/>
  <c r="H51" i="9"/>
  <c r="Q48" i="9"/>
  <c r="P48" i="9"/>
  <c r="O48" i="9"/>
  <c r="N48" i="9"/>
  <c r="M48" i="9"/>
  <c r="L48" i="9"/>
  <c r="K48" i="9"/>
  <c r="J48" i="9"/>
  <c r="I48" i="9"/>
  <c r="I69" i="9" s="1"/>
  <c r="G26" i="9"/>
  <c r="G27" i="9" s="1"/>
  <c r="M33" i="9" s="1"/>
  <c r="G17" i="9"/>
  <c r="H16" i="9" s="1"/>
  <c r="H14" i="9"/>
  <c r="M13" i="9"/>
  <c r="M12" i="9"/>
  <c r="H12" i="9"/>
  <c r="M9" i="9"/>
  <c r="R25" i="9" s="1"/>
  <c r="M18" i="8"/>
  <c r="M14" i="8"/>
  <c r="M13" i="8"/>
  <c r="M12" i="8"/>
  <c r="M11" i="8"/>
  <c r="M9" i="8"/>
  <c r="R27" i="8" s="1"/>
  <c r="R25" i="8"/>
  <c r="R24" i="8"/>
  <c r="R23" i="8"/>
  <c r="E320" i="8"/>
  <c r="Q303" i="8"/>
  <c r="P303" i="8"/>
  <c r="O303" i="8"/>
  <c r="N303" i="8"/>
  <c r="M303" i="8"/>
  <c r="L303" i="8"/>
  <c r="K303" i="8"/>
  <c r="J303" i="8"/>
  <c r="Q275" i="8"/>
  <c r="P275" i="8"/>
  <c r="O275" i="8"/>
  <c r="N275" i="8"/>
  <c r="M275" i="8"/>
  <c r="L275" i="8"/>
  <c r="K275" i="8"/>
  <c r="J275" i="8"/>
  <c r="I275" i="8"/>
  <c r="H255" i="8"/>
  <c r="H254" i="8"/>
  <c r="H253" i="8"/>
  <c r="H252" i="8"/>
  <c r="G248" i="8"/>
  <c r="G247" i="8"/>
  <c r="H236" i="8"/>
  <c r="G236" i="8"/>
  <c r="H235" i="8"/>
  <c r="G235" i="8"/>
  <c r="H234" i="8"/>
  <c r="G234" i="8"/>
  <c r="H233" i="8"/>
  <c r="G233" i="8"/>
  <c r="H232" i="8"/>
  <c r="Q219" i="8"/>
  <c r="P219" i="8"/>
  <c r="O219" i="8"/>
  <c r="N219" i="8"/>
  <c r="M219" i="8"/>
  <c r="L219" i="8"/>
  <c r="K219" i="8"/>
  <c r="J219" i="8"/>
  <c r="J197" i="8"/>
  <c r="K197" i="8" s="1"/>
  <c r="L197" i="8" s="1"/>
  <c r="M197" i="8" s="1"/>
  <c r="N197" i="8" s="1"/>
  <c r="O197" i="8" s="1"/>
  <c r="J196" i="8"/>
  <c r="J195" i="8"/>
  <c r="K195" i="8" s="1"/>
  <c r="L195" i="8" s="1"/>
  <c r="M195" i="8" s="1"/>
  <c r="N195" i="8" s="1"/>
  <c r="K194" i="8"/>
  <c r="L194" i="8" s="1"/>
  <c r="G189" i="8"/>
  <c r="Q177" i="8"/>
  <c r="P177" i="8"/>
  <c r="O177" i="8"/>
  <c r="N177" i="8"/>
  <c r="M177" i="8"/>
  <c r="L177" i="8"/>
  <c r="K177" i="8"/>
  <c r="J177" i="8"/>
  <c r="I177" i="8"/>
  <c r="G171" i="8"/>
  <c r="H133" i="8"/>
  <c r="H137" i="8" s="1"/>
  <c r="H140" i="8" s="1"/>
  <c r="H141" i="8" s="1"/>
  <c r="H123" i="8"/>
  <c r="H127" i="8" s="1"/>
  <c r="H120" i="8"/>
  <c r="J73" i="8"/>
  <c r="K73" i="8" s="1"/>
  <c r="I73" i="8"/>
  <c r="H73" i="8"/>
  <c r="I72" i="8"/>
  <c r="J72" i="8" s="1"/>
  <c r="K72" i="8" s="1"/>
  <c r="L72" i="8" s="1"/>
  <c r="M72" i="8" s="1"/>
  <c r="N72" i="8" s="1"/>
  <c r="O72" i="8" s="1"/>
  <c r="P72" i="8" s="1"/>
  <c r="Q72" i="8" s="1"/>
  <c r="H72" i="8"/>
  <c r="J70" i="8"/>
  <c r="K70" i="8" s="1"/>
  <c r="L70" i="8" s="1"/>
  <c r="P69" i="8"/>
  <c r="Q69" i="8" s="1"/>
  <c r="I65" i="8"/>
  <c r="I64" i="8"/>
  <c r="H64" i="8"/>
  <c r="G59" i="8"/>
  <c r="I56" i="8"/>
  <c r="I55" i="8"/>
  <c r="H55" i="8"/>
  <c r="H56" i="8" s="1"/>
  <c r="I52" i="8"/>
  <c r="I51" i="8"/>
  <c r="I71" i="8" s="1"/>
  <c r="J71" i="8" s="1"/>
  <c r="K71" i="8" s="1"/>
  <c r="L71" i="8" s="1"/>
  <c r="M71" i="8" s="1"/>
  <c r="N71" i="8" s="1"/>
  <c r="O71" i="8" s="1"/>
  <c r="P71" i="8" s="1"/>
  <c r="Q71" i="8" s="1"/>
  <c r="H51" i="8"/>
  <c r="H71" i="8" s="1"/>
  <c r="I48" i="8"/>
  <c r="I69" i="8" s="1"/>
  <c r="G252" i="8"/>
  <c r="J71" i="7"/>
  <c r="I275" i="7"/>
  <c r="E358" i="7" a="1"/>
  <c r="E344" i="7" a="1"/>
  <c r="E330" i="7" a="1"/>
  <c r="E321" i="7"/>
  <c r="E322" i="7" s="1"/>
  <c r="E319" i="7"/>
  <c r="E318" i="7" s="1"/>
  <c r="E320" i="7"/>
  <c r="I284" i="7"/>
  <c r="I73" i="7"/>
  <c r="H73" i="7"/>
  <c r="G59" i="7"/>
  <c r="K252" i="7"/>
  <c r="J252" i="7"/>
  <c r="H255" i="7"/>
  <c r="H254" i="7"/>
  <c r="H253" i="7"/>
  <c r="H252" i="7"/>
  <c r="G252" i="7"/>
  <c r="Q248" i="7"/>
  <c r="P248" i="7"/>
  <c r="O248" i="7"/>
  <c r="N248" i="7"/>
  <c r="M248" i="7"/>
  <c r="Q247" i="7"/>
  <c r="P247" i="7"/>
  <c r="O247" i="7"/>
  <c r="N247" i="7"/>
  <c r="M247" i="7"/>
  <c r="L247" i="7"/>
  <c r="K247" i="7"/>
  <c r="J247" i="7"/>
  <c r="G248" i="7"/>
  <c r="G247" i="7"/>
  <c r="H236" i="7"/>
  <c r="H235" i="7"/>
  <c r="H234" i="7"/>
  <c r="H233" i="7"/>
  <c r="H232" i="7"/>
  <c r="G236" i="7"/>
  <c r="G235" i="7"/>
  <c r="G234" i="7"/>
  <c r="G233" i="7"/>
  <c r="K194" i="7"/>
  <c r="L194" i="7" s="1"/>
  <c r="M194" i="7" s="1"/>
  <c r="N194" i="7" s="1"/>
  <c r="O194" i="7" s="1"/>
  <c r="P194" i="7" s="1"/>
  <c r="Q194" i="7" s="1"/>
  <c r="J197" i="7"/>
  <c r="J196" i="7"/>
  <c r="K196" i="7" s="1"/>
  <c r="J195" i="7"/>
  <c r="K195" i="7" s="1"/>
  <c r="G189" i="7"/>
  <c r="I181" i="7"/>
  <c r="J200" i="7" s="1"/>
  <c r="G171" i="7"/>
  <c r="J160" i="7"/>
  <c r="J166" i="7" s="1"/>
  <c r="I119" i="7"/>
  <c r="I167" i="7" s="1"/>
  <c r="I136" i="7"/>
  <c r="J136" i="7" s="1"/>
  <c r="K136" i="7" s="1"/>
  <c r="L136" i="7" s="1"/>
  <c r="M136" i="7" s="1"/>
  <c r="N136" i="7" s="1"/>
  <c r="O136" i="7" s="1"/>
  <c r="P136" i="7" s="1"/>
  <c r="Q136" i="7" s="1"/>
  <c r="I132" i="7"/>
  <c r="I131" i="7"/>
  <c r="I130" i="7"/>
  <c r="I124" i="7"/>
  <c r="I122" i="7"/>
  <c r="I121" i="7"/>
  <c r="I105" i="7"/>
  <c r="I104" i="7"/>
  <c r="I103" i="7"/>
  <c r="I100" i="7"/>
  <c r="I99" i="7"/>
  <c r="H133" i="7"/>
  <c r="H137" i="7" s="1"/>
  <c r="H120" i="7"/>
  <c r="I120" i="7" s="1"/>
  <c r="I85" i="7"/>
  <c r="H84" i="7"/>
  <c r="H85" i="7" s="1"/>
  <c r="J47" i="7"/>
  <c r="J73" i="7"/>
  <c r="J70" i="7"/>
  <c r="K70" i="7" s="1"/>
  <c r="L70" i="7" s="1"/>
  <c r="M70" i="7" s="1"/>
  <c r="P69" i="7"/>
  <c r="Q69" i="7" s="1"/>
  <c r="T22" i="7"/>
  <c r="Q22" i="7"/>
  <c r="M13" i="7"/>
  <c r="M12" i="7"/>
  <c r="M9" i="7"/>
  <c r="Q25" i="7" s="1"/>
  <c r="G24" i="7"/>
  <c r="Q303" i="7"/>
  <c r="P303" i="7"/>
  <c r="O303" i="7"/>
  <c r="N303" i="7"/>
  <c r="M303" i="7"/>
  <c r="L303" i="7"/>
  <c r="K303" i="7"/>
  <c r="J303" i="7"/>
  <c r="Q275" i="7"/>
  <c r="P275" i="7"/>
  <c r="O275" i="7"/>
  <c r="N275" i="7"/>
  <c r="M275" i="7"/>
  <c r="L275" i="7"/>
  <c r="K275" i="7"/>
  <c r="J275" i="7"/>
  <c r="O249" i="17" l="1"/>
  <c r="O266" i="17" s="1"/>
  <c r="O268" i="17" s="1"/>
  <c r="M249" i="17"/>
  <c r="M266" i="17" s="1"/>
  <c r="M268" i="17" s="1"/>
  <c r="Q249" i="17"/>
  <c r="Q266" i="17" s="1"/>
  <c r="Q268" i="17" s="1"/>
  <c r="N109" i="7"/>
  <c r="K92" i="13"/>
  <c r="J99" i="13"/>
  <c r="K88" i="13"/>
  <c r="J98" i="13"/>
  <c r="I97" i="13"/>
  <c r="I94" i="13"/>
  <c r="J94" i="13" s="1"/>
  <c r="H139" i="12"/>
  <c r="M25" i="12"/>
  <c r="K55" i="12"/>
  <c r="K60" i="12" s="1"/>
  <c r="K62" i="12" s="1"/>
  <c r="K63" i="12" s="1"/>
  <c r="E318" i="12"/>
  <c r="E317" i="12" s="1"/>
  <c r="E316" i="12" s="1"/>
  <c r="E315" i="12" s="1"/>
  <c r="E357" i="12" s="1" a="1"/>
  <c r="K50" i="12"/>
  <c r="J50" i="12"/>
  <c r="J284" i="22"/>
  <c r="J52" i="22"/>
  <c r="J51" i="22"/>
  <c r="K89" i="22"/>
  <c r="J99" i="22"/>
  <c r="J121" i="22" s="1"/>
  <c r="G20" i="22"/>
  <c r="M18" i="22"/>
  <c r="G15" i="22" s="1"/>
  <c r="M23" i="22"/>
  <c r="J151" i="22"/>
  <c r="J55" i="22"/>
  <c r="K84" i="22"/>
  <c r="K85" i="22" s="1"/>
  <c r="K48" i="22"/>
  <c r="L47" i="22"/>
  <c r="K54" i="22"/>
  <c r="K71" i="22"/>
  <c r="K73" i="22"/>
  <c r="J100" i="22"/>
  <c r="J122" i="22" s="1"/>
  <c r="K93" i="22"/>
  <c r="L94" i="22"/>
  <c r="L195" i="22"/>
  <c r="K95" i="22"/>
  <c r="J105" i="22"/>
  <c r="J132" i="22" s="1"/>
  <c r="I98" i="22"/>
  <c r="I120" i="22"/>
  <c r="I123" i="22" s="1"/>
  <c r="J124" i="22"/>
  <c r="O236" i="22"/>
  <c r="K236" i="22"/>
  <c r="Q236" i="22"/>
  <c r="L236" i="22"/>
  <c r="P236" i="22"/>
  <c r="J236" i="22"/>
  <c r="N236" i="22"/>
  <c r="M236" i="22"/>
  <c r="Q27" i="22"/>
  <c r="Q23" i="22"/>
  <c r="J252" i="22"/>
  <c r="T25" i="22"/>
  <c r="G254" i="22" s="1"/>
  <c r="I56" i="22"/>
  <c r="H123" i="22"/>
  <c r="H127" i="22" s="1"/>
  <c r="M24" i="22" s="1"/>
  <c r="M194" i="22"/>
  <c r="I90" i="22"/>
  <c r="J90" i="22" s="1"/>
  <c r="N196" i="22"/>
  <c r="M248" i="22"/>
  <c r="M247" i="22"/>
  <c r="Q248" i="22"/>
  <c r="Q247" i="22"/>
  <c r="Q249" i="22" s="1"/>
  <c r="Q266" i="22" s="1"/>
  <c r="Q235" i="22"/>
  <c r="M235" i="22"/>
  <c r="P235" i="22"/>
  <c r="K235" i="22"/>
  <c r="O235" i="22"/>
  <c r="J235" i="22"/>
  <c r="N235" i="22"/>
  <c r="L235" i="22"/>
  <c r="J200" i="22"/>
  <c r="I189" i="22"/>
  <c r="L197" i="22"/>
  <c r="O247" i="22"/>
  <c r="O249" i="22" s="1"/>
  <c r="O266" i="22" s="1"/>
  <c r="O234" i="22"/>
  <c r="K234" i="22"/>
  <c r="Q234" i="22"/>
  <c r="L234" i="22"/>
  <c r="P234" i="22"/>
  <c r="J234" i="22"/>
  <c r="N234" i="22"/>
  <c r="E358" i="22" a="1"/>
  <c r="E330" i="22" a="1"/>
  <c r="E344" i="22" a="1"/>
  <c r="J202" i="22"/>
  <c r="P248" i="22"/>
  <c r="J247" i="22"/>
  <c r="N247" i="22"/>
  <c r="N249" i="22" s="1"/>
  <c r="N266" i="22" s="1"/>
  <c r="M232" i="22"/>
  <c r="K233" i="22"/>
  <c r="O233" i="22"/>
  <c r="K247" i="22"/>
  <c r="P247" i="22"/>
  <c r="L233" i="22"/>
  <c r="P233" i="22"/>
  <c r="L247" i="22"/>
  <c r="M233" i="22"/>
  <c r="N248" i="22"/>
  <c r="P249" i="7"/>
  <c r="P266" i="7" s="1"/>
  <c r="N249" i="7"/>
  <c r="N266" i="7" s="1"/>
  <c r="I90" i="17"/>
  <c r="J90" i="17" s="1"/>
  <c r="J103" i="17" s="1"/>
  <c r="I108" i="17"/>
  <c r="J104" i="16"/>
  <c r="K93" i="13"/>
  <c r="J103" i="13"/>
  <c r="K94" i="13"/>
  <c r="J104" i="13"/>
  <c r="J102" i="13"/>
  <c r="O249" i="7"/>
  <c r="O266" i="7" s="1"/>
  <c r="R25" i="20"/>
  <c r="T25" i="20"/>
  <c r="G254" i="20" s="1"/>
  <c r="G13" i="20"/>
  <c r="G252" i="20"/>
  <c r="J103" i="20"/>
  <c r="K90" i="20"/>
  <c r="M14" i="20"/>
  <c r="Q27" i="20"/>
  <c r="Q23" i="20"/>
  <c r="K71" i="20"/>
  <c r="J50" i="20"/>
  <c r="J155" i="20"/>
  <c r="K73" i="20"/>
  <c r="J132" i="20"/>
  <c r="K95" i="20"/>
  <c r="J100" i="20"/>
  <c r="J122" i="20" s="1"/>
  <c r="K93" i="20"/>
  <c r="J54" i="20"/>
  <c r="K84" i="20"/>
  <c r="K85" i="20" s="1"/>
  <c r="I88" i="20"/>
  <c r="K54" i="20"/>
  <c r="I89" i="20"/>
  <c r="J89" i="20" s="1"/>
  <c r="I94" i="20"/>
  <c r="J94" i="20" s="1"/>
  <c r="L47" i="20"/>
  <c r="I106" i="20"/>
  <c r="I108" i="20" s="1"/>
  <c r="L247" i="20"/>
  <c r="P248" i="20"/>
  <c r="P247" i="20"/>
  <c r="L195" i="20"/>
  <c r="L197" i="20"/>
  <c r="H123" i="20"/>
  <c r="H127" i="20" s="1"/>
  <c r="M24" i="20" s="1"/>
  <c r="I123" i="20"/>
  <c r="M194" i="20"/>
  <c r="L196" i="20"/>
  <c r="M248" i="20"/>
  <c r="Q248" i="20"/>
  <c r="E358" i="20" a="1"/>
  <c r="E330" i="20" a="1"/>
  <c r="J247" i="20"/>
  <c r="N248" i="20"/>
  <c r="N247" i="20"/>
  <c r="P232" i="20"/>
  <c r="L232" i="20"/>
  <c r="O232" i="20"/>
  <c r="K232" i="20"/>
  <c r="N232" i="20"/>
  <c r="J232" i="20"/>
  <c r="O234" i="20"/>
  <c r="K234" i="20"/>
  <c r="N234" i="20"/>
  <c r="J234" i="20"/>
  <c r="O236" i="20"/>
  <c r="K236" i="20"/>
  <c r="N236" i="20"/>
  <c r="J236" i="20"/>
  <c r="K247" i="20"/>
  <c r="O247" i="20"/>
  <c r="O249" i="20" s="1"/>
  <c r="O266" i="20" s="1"/>
  <c r="E344" i="20" a="1"/>
  <c r="L233" i="20"/>
  <c r="P233" i="20"/>
  <c r="L235" i="20"/>
  <c r="P235" i="20"/>
  <c r="M247" i="20"/>
  <c r="Q247" i="20"/>
  <c r="Q249" i="20" s="1"/>
  <c r="Q266" i="20" s="1"/>
  <c r="M233" i="20"/>
  <c r="M235" i="20"/>
  <c r="J233" i="20"/>
  <c r="L234" i="20"/>
  <c r="J235" i="20"/>
  <c r="L236" i="20"/>
  <c r="O249" i="19"/>
  <c r="O266" i="19" s="1"/>
  <c r="T25" i="19"/>
  <c r="G254" i="19" s="1"/>
  <c r="R25" i="19"/>
  <c r="G13" i="19"/>
  <c r="M73" i="19"/>
  <c r="H140" i="19"/>
  <c r="H141" i="19" s="1"/>
  <c r="M25" i="19"/>
  <c r="K95" i="19"/>
  <c r="K105" i="19" s="1"/>
  <c r="K132" i="19" s="1"/>
  <c r="J48" i="19"/>
  <c r="K47" i="19"/>
  <c r="J84" i="19"/>
  <c r="J85" i="19" s="1"/>
  <c r="J100" i="19"/>
  <c r="K93" i="19"/>
  <c r="J54" i="19"/>
  <c r="M11" i="19"/>
  <c r="M14" i="19" s="1"/>
  <c r="Q23" i="19"/>
  <c r="J50" i="19"/>
  <c r="I88" i="19"/>
  <c r="N195" i="19"/>
  <c r="N197" i="19"/>
  <c r="T27" i="19"/>
  <c r="G255" i="19" s="1"/>
  <c r="G14" i="19"/>
  <c r="R27" i="19"/>
  <c r="K155" i="19"/>
  <c r="L94" i="19"/>
  <c r="L104" i="19" s="1"/>
  <c r="L131" i="19" s="1"/>
  <c r="Q24" i="19"/>
  <c r="I57" i="19"/>
  <c r="K71" i="19"/>
  <c r="J155" i="19"/>
  <c r="I89" i="19"/>
  <c r="J89" i="19" s="1"/>
  <c r="I108" i="19"/>
  <c r="I90" i="19"/>
  <c r="J90" i="19" s="1"/>
  <c r="J103" i="19" s="1"/>
  <c r="N194" i="19"/>
  <c r="N196" i="19"/>
  <c r="I189" i="19"/>
  <c r="E358" i="19" a="1"/>
  <c r="E330" i="19" a="1"/>
  <c r="E344" i="19" a="1"/>
  <c r="J252" i="19"/>
  <c r="I123" i="19"/>
  <c r="J247" i="19"/>
  <c r="N248" i="19"/>
  <c r="N247" i="19"/>
  <c r="P248" i="19"/>
  <c r="P232" i="19"/>
  <c r="L232" i="19"/>
  <c r="O232" i="19"/>
  <c r="K232" i="19"/>
  <c r="N232" i="19"/>
  <c r="J232" i="19"/>
  <c r="O234" i="19"/>
  <c r="K234" i="19"/>
  <c r="O236" i="19"/>
  <c r="K236" i="19"/>
  <c r="L247" i="19"/>
  <c r="M248" i="19"/>
  <c r="Q248" i="19"/>
  <c r="P247" i="19"/>
  <c r="L233" i="19"/>
  <c r="P233" i="19"/>
  <c r="J234" i="19"/>
  <c r="N234" i="19"/>
  <c r="L235" i="19"/>
  <c r="P235" i="19"/>
  <c r="J236" i="19"/>
  <c r="N236" i="19"/>
  <c r="M247" i="19"/>
  <c r="Q247" i="19"/>
  <c r="Q249" i="19" s="1"/>
  <c r="Q266" i="19" s="1"/>
  <c r="M233" i="19"/>
  <c r="M235" i="19"/>
  <c r="J233" i="19"/>
  <c r="L234" i="19"/>
  <c r="J235" i="19"/>
  <c r="L236" i="19"/>
  <c r="K253" i="17"/>
  <c r="K254" i="17"/>
  <c r="N254" i="17" s="1"/>
  <c r="K255" i="17"/>
  <c r="L252" i="17"/>
  <c r="L253" i="17"/>
  <c r="L254" i="17"/>
  <c r="L255" i="17"/>
  <c r="M252" i="17"/>
  <c r="M254" i="17"/>
  <c r="T23" i="17"/>
  <c r="G253" i="17" s="1"/>
  <c r="R23" i="17"/>
  <c r="G12" i="17"/>
  <c r="T27" i="17"/>
  <c r="G255" i="17" s="1"/>
  <c r="G14" i="17"/>
  <c r="R27" i="17"/>
  <c r="J151" i="17"/>
  <c r="J55" i="17"/>
  <c r="K71" i="17"/>
  <c r="J50" i="17"/>
  <c r="K90" i="17"/>
  <c r="K103" i="17" s="1"/>
  <c r="J84" i="17"/>
  <c r="J85" i="17" s="1"/>
  <c r="J48" i="17"/>
  <c r="K47" i="17"/>
  <c r="K89" i="17"/>
  <c r="J99" i="17"/>
  <c r="Q25" i="17"/>
  <c r="M11" i="17"/>
  <c r="M14" i="17" s="1"/>
  <c r="Q24" i="17"/>
  <c r="J155" i="17"/>
  <c r="K73" i="17"/>
  <c r="K94" i="17"/>
  <c r="K104" i="17" s="1"/>
  <c r="L197" i="17"/>
  <c r="I95" i="17"/>
  <c r="J95" i="17" s="1"/>
  <c r="J105" i="17" s="1"/>
  <c r="J98" i="17"/>
  <c r="J91" i="17"/>
  <c r="I91" i="17"/>
  <c r="H123" i="17"/>
  <c r="H127" i="17" s="1"/>
  <c r="M24" i="17" s="1"/>
  <c r="L195" i="17"/>
  <c r="K88" i="17"/>
  <c r="I93" i="17"/>
  <c r="J93" i="17" s="1"/>
  <c r="I120" i="17"/>
  <c r="I123" i="17" s="1"/>
  <c r="I133" i="17"/>
  <c r="J200" i="17"/>
  <c r="E358" i="17" a="1"/>
  <c r="E330" i="17" a="1"/>
  <c r="L196" i="17"/>
  <c r="P194" i="17"/>
  <c r="E344" i="17" a="1"/>
  <c r="L94" i="16"/>
  <c r="L104" i="16" s="1"/>
  <c r="Q26" i="16"/>
  <c r="R24" i="16"/>
  <c r="G20" i="16"/>
  <c r="M23" i="16"/>
  <c r="M18" i="16"/>
  <c r="G15" i="16" s="1"/>
  <c r="M71" i="16"/>
  <c r="K89" i="16"/>
  <c r="M73" i="16"/>
  <c r="K95" i="16"/>
  <c r="K105" i="16" s="1"/>
  <c r="G14" i="16"/>
  <c r="T27" i="16"/>
  <c r="G255" i="16" s="1"/>
  <c r="J48" i="16"/>
  <c r="K47" i="16"/>
  <c r="J54" i="16"/>
  <c r="J84" i="16"/>
  <c r="J85" i="16" s="1"/>
  <c r="J99" i="16" s="1"/>
  <c r="E358" i="16" a="1"/>
  <c r="E330" i="16" a="1"/>
  <c r="E344" i="16" a="1"/>
  <c r="K50" i="16"/>
  <c r="H141" i="16"/>
  <c r="G13" i="16"/>
  <c r="T23" i="16"/>
  <c r="G253" i="16" s="1"/>
  <c r="R25" i="16"/>
  <c r="I88" i="16"/>
  <c r="I120" i="16"/>
  <c r="H123" i="16"/>
  <c r="H127" i="16" s="1"/>
  <c r="M24" i="16" s="1"/>
  <c r="K155" i="16"/>
  <c r="G12" i="16"/>
  <c r="J50" i="16"/>
  <c r="J155" i="16"/>
  <c r="T28" i="16"/>
  <c r="G25" i="16" s="1"/>
  <c r="I93" i="16"/>
  <c r="J93" i="16" s="1"/>
  <c r="I108" i="16"/>
  <c r="I90" i="16"/>
  <c r="J90" i="16" s="1"/>
  <c r="J103" i="16" s="1"/>
  <c r="J106" i="16" s="1"/>
  <c r="I133" i="16"/>
  <c r="I123" i="16"/>
  <c r="R27" i="15"/>
  <c r="T27" i="15"/>
  <c r="G255" i="15" s="1"/>
  <c r="G14" i="15"/>
  <c r="J88" i="15"/>
  <c r="M71" i="15"/>
  <c r="K54" i="15"/>
  <c r="L47" i="15"/>
  <c r="K48" i="15"/>
  <c r="K50" i="15"/>
  <c r="I57" i="15"/>
  <c r="I101" i="15"/>
  <c r="I108" i="15" s="1"/>
  <c r="E358" i="15" a="1"/>
  <c r="E330" i="15" a="1"/>
  <c r="I85" i="15"/>
  <c r="I90" i="15" s="1"/>
  <c r="J90" i="15" s="1"/>
  <c r="J103" i="15" s="1"/>
  <c r="J106" i="15" s="1"/>
  <c r="I95" i="15"/>
  <c r="J95" i="15" s="1"/>
  <c r="J105" i="15" s="1"/>
  <c r="M11" i="15"/>
  <c r="M14" i="15" s="1"/>
  <c r="Q25" i="15"/>
  <c r="J51" i="15"/>
  <c r="I93" i="15"/>
  <c r="J93" i="15" s="1"/>
  <c r="Q23" i="15"/>
  <c r="J54" i="15"/>
  <c r="J55" i="15" s="1"/>
  <c r="I94" i="15"/>
  <c r="J94" i="15" s="1"/>
  <c r="J104" i="15" s="1"/>
  <c r="E344" i="15" a="1"/>
  <c r="I140" i="14"/>
  <c r="I141" i="14" s="1"/>
  <c r="M32" i="14" s="1"/>
  <c r="T25" i="14"/>
  <c r="G254" i="14" s="1"/>
  <c r="R25" i="14"/>
  <c r="I85" i="14"/>
  <c r="I90" i="14" s="1"/>
  <c r="J90" i="14" s="1"/>
  <c r="J103" i="14" s="1"/>
  <c r="J106" i="14" s="1"/>
  <c r="I93" i="14"/>
  <c r="J93" i="14" s="1"/>
  <c r="I95" i="14"/>
  <c r="J95" i="14" s="1"/>
  <c r="J105" i="14" s="1"/>
  <c r="T27" i="14"/>
  <c r="G255" i="14" s="1"/>
  <c r="G14" i="14"/>
  <c r="R27" i="14"/>
  <c r="K71" i="14"/>
  <c r="J50" i="14"/>
  <c r="G13" i="14"/>
  <c r="M18" i="14"/>
  <c r="G15" i="14" s="1"/>
  <c r="M23" i="14"/>
  <c r="M26" i="14" s="1"/>
  <c r="Q23" i="14"/>
  <c r="I89" i="14"/>
  <c r="J89" i="14" s="1"/>
  <c r="I94" i="14"/>
  <c r="J94" i="14" s="1"/>
  <c r="J104" i="14" s="1"/>
  <c r="E358" i="14" a="1"/>
  <c r="E330" i="14" a="1"/>
  <c r="J54" i="14"/>
  <c r="J55" i="14" s="1"/>
  <c r="K47" i="14"/>
  <c r="J48" i="14"/>
  <c r="E344" i="14" a="1"/>
  <c r="I98" i="14"/>
  <c r="T23" i="13"/>
  <c r="R23" i="13"/>
  <c r="G12" i="13"/>
  <c r="Q24" i="13"/>
  <c r="Q27" i="13"/>
  <c r="J54" i="13"/>
  <c r="J55" i="13" s="1"/>
  <c r="M71" i="13"/>
  <c r="K47" i="13"/>
  <c r="K83" i="13" s="1"/>
  <c r="K84" i="13" s="1"/>
  <c r="K102" i="13" s="1"/>
  <c r="J50" i="13"/>
  <c r="H139" i="13"/>
  <c r="H140" i="13" s="1"/>
  <c r="M32" i="13" s="1"/>
  <c r="M25" i="13"/>
  <c r="Q25" i="13"/>
  <c r="M11" i="13"/>
  <c r="M14" i="13" s="1"/>
  <c r="K50" i="13"/>
  <c r="E318" i="13"/>
  <c r="E317" i="13" s="1"/>
  <c r="E316" i="13" s="1"/>
  <c r="E315" i="13" s="1"/>
  <c r="K64" i="12"/>
  <c r="K56" i="12"/>
  <c r="L47" i="12"/>
  <c r="L54" i="12" s="1"/>
  <c r="J48" i="12"/>
  <c r="G13" i="12"/>
  <c r="T25" i="12"/>
  <c r="G253" i="12" s="1"/>
  <c r="R25" i="12"/>
  <c r="H140" i="12"/>
  <c r="M32" i="12" s="1"/>
  <c r="E343" i="12" a="1"/>
  <c r="Q27" i="12"/>
  <c r="I57" i="12"/>
  <c r="Q23" i="12"/>
  <c r="M11" i="12"/>
  <c r="M14" i="12" s="1"/>
  <c r="H23" i="11"/>
  <c r="H12" i="11"/>
  <c r="G27" i="11"/>
  <c r="M33" i="11" s="1"/>
  <c r="H14" i="11"/>
  <c r="E358" i="11" a="1"/>
  <c r="E330" i="11" a="1"/>
  <c r="E344" i="11" a="1"/>
  <c r="R25" i="11"/>
  <c r="T25" i="11"/>
  <c r="G254" i="11" s="1"/>
  <c r="H141" i="11"/>
  <c r="M32" i="11" s="1"/>
  <c r="H10" i="11"/>
  <c r="H17" i="11"/>
  <c r="H22" i="11"/>
  <c r="H24" i="11"/>
  <c r="H25" i="11"/>
  <c r="J57" i="11"/>
  <c r="Q27" i="11"/>
  <c r="I57" i="11"/>
  <c r="H11" i="11"/>
  <c r="H13" i="11"/>
  <c r="H15" i="11"/>
  <c r="Q23" i="11"/>
  <c r="M11" i="11"/>
  <c r="M14" i="11" s="1"/>
  <c r="H20" i="11"/>
  <c r="H26" i="11"/>
  <c r="G252" i="10"/>
  <c r="R24" i="10"/>
  <c r="E358" i="10" a="1"/>
  <c r="E330" i="10" a="1"/>
  <c r="E344" i="10" a="1"/>
  <c r="R28" i="10"/>
  <c r="J57" i="10"/>
  <c r="R23" i="10"/>
  <c r="R27" i="10"/>
  <c r="I57" i="10"/>
  <c r="H17" i="10"/>
  <c r="H11" i="10"/>
  <c r="H13" i="10"/>
  <c r="H15" i="10"/>
  <c r="R25" i="10"/>
  <c r="R26" i="10"/>
  <c r="H10" i="10"/>
  <c r="M11" i="10"/>
  <c r="M14" i="10" s="1"/>
  <c r="E344" i="9" a="1"/>
  <c r="E358" i="9" a="1"/>
  <c r="E330" i="9" a="1"/>
  <c r="R27" i="9"/>
  <c r="I57" i="9"/>
  <c r="H22" i="9"/>
  <c r="H26" i="9"/>
  <c r="H11" i="9"/>
  <c r="H13" i="9"/>
  <c r="H15" i="9"/>
  <c r="H23" i="9"/>
  <c r="H25" i="9"/>
  <c r="R26" i="9"/>
  <c r="H21" i="9"/>
  <c r="H24" i="9"/>
  <c r="H10" i="9"/>
  <c r="H17" i="9"/>
  <c r="R24" i="9"/>
  <c r="R28" i="9"/>
  <c r="J57" i="9"/>
  <c r="M11" i="9"/>
  <c r="M14" i="9" s="1"/>
  <c r="M18" i="9" s="1"/>
  <c r="H20" i="9"/>
  <c r="R23" i="9"/>
  <c r="I57" i="8"/>
  <c r="R26" i="8"/>
  <c r="R28" i="8"/>
  <c r="O195" i="8"/>
  <c r="M70" i="8"/>
  <c r="P197" i="8"/>
  <c r="G254" i="8"/>
  <c r="G255" i="8"/>
  <c r="M194" i="8"/>
  <c r="K196" i="8"/>
  <c r="J48" i="8"/>
  <c r="L73" i="8"/>
  <c r="E319" i="8"/>
  <c r="E321" i="8"/>
  <c r="E364" i="7"/>
  <c r="E323" i="7"/>
  <c r="E324" i="7" s="1"/>
  <c r="E360" i="7"/>
  <c r="E317" i="7"/>
  <c r="E349" i="7"/>
  <c r="E363" i="7"/>
  <c r="E331" i="7"/>
  <c r="E366" i="7"/>
  <c r="E352" i="7"/>
  <c r="E361" i="7"/>
  <c r="E365" i="7"/>
  <c r="E362" i="7"/>
  <c r="E346" i="7"/>
  <c r="E350" i="7"/>
  <c r="E347" i="7"/>
  <c r="E351" i="7"/>
  <c r="E348" i="7"/>
  <c r="E336" i="7"/>
  <c r="E332" i="7"/>
  <c r="E338" i="7"/>
  <c r="E334" i="7"/>
  <c r="E337" i="7"/>
  <c r="E333" i="7"/>
  <c r="E335" i="7"/>
  <c r="L252" i="7"/>
  <c r="M252" i="7" s="1"/>
  <c r="M249" i="7"/>
  <c r="M266" i="7" s="1"/>
  <c r="Q249" i="7"/>
  <c r="Q266" i="7" s="1"/>
  <c r="J155" i="7"/>
  <c r="I133" i="7"/>
  <c r="I94" i="7"/>
  <c r="J94" i="7" s="1"/>
  <c r="K94" i="7" s="1"/>
  <c r="I89" i="7"/>
  <c r="J89" i="7" s="1"/>
  <c r="K89" i="7" s="1"/>
  <c r="I95" i="7"/>
  <c r="J95" i="7" s="1"/>
  <c r="K95" i="7" s="1"/>
  <c r="I93" i="7"/>
  <c r="J93" i="7" s="1"/>
  <c r="K93" i="7" s="1"/>
  <c r="T25" i="7"/>
  <c r="G254" i="7" s="1"/>
  <c r="J254" i="7" s="1"/>
  <c r="G13" i="7"/>
  <c r="I183" i="7" s="1"/>
  <c r="J202" i="7" s="1"/>
  <c r="R25" i="7"/>
  <c r="L196" i="7"/>
  <c r="J104" i="7"/>
  <c r="J131" i="7" s="1"/>
  <c r="L89" i="7"/>
  <c r="M89" i="7" s="1"/>
  <c r="M11" i="7"/>
  <c r="M14" i="7" s="1"/>
  <c r="K47" i="7"/>
  <c r="K48" i="7" s="1"/>
  <c r="H140" i="7"/>
  <c r="M25" i="7"/>
  <c r="L195" i="7"/>
  <c r="Q27" i="7"/>
  <c r="Q23" i="7"/>
  <c r="Q24" i="7" s="1"/>
  <c r="R24" i="7" s="1"/>
  <c r="J85" i="7"/>
  <c r="J99" i="7" s="1"/>
  <c r="J121" i="7" s="1"/>
  <c r="K73" i="7"/>
  <c r="J158" i="7"/>
  <c r="N70" i="7"/>
  <c r="J105" i="7"/>
  <c r="J132" i="7" s="1"/>
  <c r="K197" i="7"/>
  <c r="I98" i="7"/>
  <c r="I90" i="7"/>
  <c r="J90" i="7" s="1"/>
  <c r="I189" i="7"/>
  <c r="H123" i="7"/>
  <c r="H127" i="7" s="1"/>
  <c r="M24" i="7" s="1"/>
  <c r="H141" i="7"/>
  <c r="I106" i="7"/>
  <c r="Q219" i="7"/>
  <c r="P219" i="7"/>
  <c r="O219" i="7"/>
  <c r="N219" i="7"/>
  <c r="M219" i="7"/>
  <c r="L219" i="7"/>
  <c r="K219" i="7"/>
  <c r="J219" i="7"/>
  <c r="Q177" i="7"/>
  <c r="P177" i="7"/>
  <c r="O177" i="7"/>
  <c r="N177" i="7"/>
  <c r="M177" i="7"/>
  <c r="L177" i="7"/>
  <c r="K177" i="7"/>
  <c r="J177" i="7"/>
  <c r="I177" i="7"/>
  <c r="I72" i="7"/>
  <c r="J72" i="7" s="1"/>
  <c r="K72" i="7" s="1"/>
  <c r="L72" i="7" s="1"/>
  <c r="M72" i="7" s="1"/>
  <c r="N72" i="7" s="1"/>
  <c r="O72" i="7" s="1"/>
  <c r="P72" i="7" s="1"/>
  <c r="Q72" i="7" s="1"/>
  <c r="H72" i="7"/>
  <c r="I65" i="7"/>
  <c r="I64" i="7"/>
  <c r="H64" i="7"/>
  <c r="I55" i="7"/>
  <c r="H55" i="7"/>
  <c r="H56" i="7" s="1"/>
  <c r="H51" i="7"/>
  <c r="H71" i="7" s="1"/>
  <c r="I51" i="7"/>
  <c r="I71" i="7" s="1"/>
  <c r="K71" i="7" s="1"/>
  <c r="L71" i="7" s="1"/>
  <c r="M71" i="7" s="1"/>
  <c r="N71" i="7" s="1"/>
  <c r="O71" i="7" s="1"/>
  <c r="P71" i="7" s="1"/>
  <c r="Q71" i="7" s="1"/>
  <c r="I52" i="7"/>
  <c r="J48" i="7"/>
  <c r="I48" i="7"/>
  <c r="I69" i="7" s="1"/>
  <c r="L88" i="13" l="1"/>
  <c r="K98" i="13"/>
  <c r="I100" i="13"/>
  <c r="I107" i="13" s="1"/>
  <c r="I87" i="13"/>
  <c r="L92" i="13"/>
  <c r="K99" i="13"/>
  <c r="J51" i="12"/>
  <c r="J52" i="12"/>
  <c r="E329" i="12" a="1"/>
  <c r="L50" i="12"/>
  <c r="L52" i="12" s="1"/>
  <c r="K51" i="12"/>
  <c r="K52" i="12"/>
  <c r="J55" i="12"/>
  <c r="E338" i="22"/>
  <c r="E334" i="22"/>
  <c r="E330" i="22"/>
  <c r="E337" i="22"/>
  <c r="E333" i="22"/>
  <c r="E332" i="22"/>
  <c r="E331" i="22"/>
  <c r="E336" i="22"/>
  <c r="E335" i="22"/>
  <c r="K252" i="22"/>
  <c r="T27" i="22"/>
  <c r="G255" i="22" s="1"/>
  <c r="R27" i="22"/>
  <c r="G14" i="22"/>
  <c r="I88" i="22"/>
  <c r="I101" i="22"/>
  <c r="I108" i="22" s="1"/>
  <c r="K100" i="22"/>
  <c r="K122" i="22" s="1"/>
  <c r="L93" i="22"/>
  <c r="K151" i="22"/>
  <c r="J56" i="22"/>
  <c r="J57" i="22"/>
  <c r="N194" i="22"/>
  <c r="L71" i="22"/>
  <c r="K50" i="22"/>
  <c r="K55" i="22" s="1"/>
  <c r="E366" i="22"/>
  <c r="E362" i="22"/>
  <c r="E358" i="22"/>
  <c r="E365" i="22"/>
  <c r="E361" i="22"/>
  <c r="E364" i="22"/>
  <c r="E363" i="22"/>
  <c r="E360" i="22"/>
  <c r="E359" i="22"/>
  <c r="M249" i="22"/>
  <c r="M266" i="22" s="1"/>
  <c r="O196" i="22"/>
  <c r="J103" i="22"/>
  <c r="K90" i="22"/>
  <c r="H141" i="22"/>
  <c r="L54" i="22"/>
  <c r="L84" i="22"/>
  <c r="L85" i="22" s="1"/>
  <c r="L48" i="22"/>
  <c r="M47" i="22"/>
  <c r="E350" i="22"/>
  <c r="E346" i="22"/>
  <c r="E349" i="22"/>
  <c r="E345" i="22"/>
  <c r="E352" i="22"/>
  <c r="E344" i="22"/>
  <c r="E351" i="22"/>
  <c r="E348" i="22"/>
  <c r="E347" i="22"/>
  <c r="T23" i="22"/>
  <c r="G12" i="22"/>
  <c r="Q24" i="22"/>
  <c r="R23" i="22"/>
  <c r="L104" i="22"/>
  <c r="L131" i="22" s="1"/>
  <c r="M94" i="22"/>
  <c r="P249" i="22"/>
  <c r="P266" i="22" s="1"/>
  <c r="M197" i="22"/>
  <c r="J254" i="22"/>
  <c r="K254" i="22" s="1"/>
  <c r="L252" i="22"/>
  <c r="K105" i="22"/>
  <c r="K132" i="22" s="1"/>
  <c r="L95" i="22"/>
  <c r="M195" i="22"/>
  <c r="K104" i="22"/>
  <c r="K131" i="22" s="1"/>
  <c r="K155" i="22"/>
  <c r="K286" i="22" s="1"/>
  <c r="L73" i="22"/>
  <c r="M26" i="22"/>
  <c r="I125" i="22" s="1"/>
  <c r="J125" i="22" s="1"/>
  <c r="K125" i="22" s="1"/>
  <c r="L125" i="22" s="1"/>
  <c r="M125" i="22" s="1"/>
  <c r="N125" i="22" s="1"/>
  <c r="O125" i="22" s="1"/>
  <c r="P125" i="22" s="1"/>
  <c r="Q125" i="22" s="1"/>
  <c r="L89" i="22"/>
  <c r="K99" i="22"/>
  <c r="K121" i="22" s="1"/>
  <c r="J106" i="19"/>
  <c r="J130" i="19"/>
  <c r="J133" i="19" s="1"/>
  <c r="J106" i="17"/>
  <c r="J105" i="13"/>
  <c r="L93" i="13"/>
  <c r="K103" i="13"/>
  <c r="K105" i="13" s="1"/>
  <c r="L94" i="13"/>
  <c r="K104" i="13"/>
  <c r="M249" i="20"/>
  <c r="M266" i="20" s="1"/>
  <c r="N249" i="20"/>
  <c r="N266" i="20" s="1"/>
  <c r="N194" i="20"/>
  <c r="M197" i="20"/>
  <c r="H141" i="20"/>
  <c r="K94" i="20"/>
  <c r="J131" i="20"/>
  <c r="K151" i="20"/>
  <c r="L95" i="20"/>
  <c r="K132" i="20"/>
  <c r="T27" i="20"/>
  <c r="G255" i="20" s="1"/>
  <c r="R27" i="20"/>
  <c r="G14" i="20"/>
  <c r="J130" i="20"/>
  <c r="J106" i="20"/>
  <c r="K252" i="20"/>
  <c r="J252" i="20"/>
  <c r="E350" i="20"/>
  <c r="E346" i="20"/>
  <c r="E349" i="20"/>
  <c r="E345" i="20"/>
  <c r="E352" i="20"/>
  <c r="E348" i="20"/>
  <c r="E344" i="20"/>
  <c r="E351" i="20"/>
  <c r="E347" i="20"/>
  <c r="L48" i="20"/>
  <c r="M47" i="20"/>
  <c r="L54" i="20"/>
  <c r="L84" i="20"/>
  <c r="L85" i="20" s="1"/>
  <c r="J99" i="20"/>
  <c r="J121" i="20" s="1"/>
  <c r="K89" i="20"/>
  <c r="I91" i="20"/>
  <c r="J88" i="20"/>
  <c r="J151" i="20"/>
  <c r="J124" i="20" s="1"/>
  <c r="J55" i="20"/>
  <c r="J51" i="20"/>
  <c r="J52" i="20"/>
  <c r="I183" i="20"/>
  <c r="E338" i="20"/>
  <c r="E334" i="20"/>
  <c r="E330" i="20"/>
  <c r="E337" i="20"/>
  <c r="E333" i="20"/>
  <c r="E336" i="20"/>
  <c r="E332" i="20"/>
  <c r="E335" i="20"/>
  <c r="E331" i="20"/>
  <c r="M196" i="20"/>
  <c r="M195" i="20"/>
  <c r="P249" i="20"/>
  <c r="P266" i="20" s="1"/>
  <c r="L93" i="20"/>
  <c r="K122" i="20"/>
  <c r="K50" i="20"/>
  <c r="L71" i="20"/>
  <c r="G20" i="20"/>
  <c r="M18" i="20"/>
  <c r="G15" i="20" s="1"/>
  <c r="M23" i="20"/>
  <c r="M26" i="20" s="1"/>
  <c r="I125" i="20" s="1"/>
  <c r="J125" i="20" s="1"/>
  <c r="K125" i="20" s="1"/>
  <c r="L125" i="20" s="1"/>
  <c r="M125" i="20" s="1"/>
  <c r="N125" i="20" s="1"/>
  <c r="O125" i="20" s="1"/>
  <c r="P125" i="20" s="1"/>
  <c r="Q125" i="20" s="1"/>
  <c r="J254" i="20"/>
  <c r="E366" i="20"/>
  <c r="E362" i="20"/>
  <c r="E358" i="20"/>
  <c r="E365" i="20"/>
  <c r="E361" i="20"/>
  <c r="E364" i="20"/>
  <c r="E360" i="20"/>
  <c r="E363" i="20"/>
  <c r="E359" i="20"/>
  <c r="K155" i="20"/>
  <c r="L73" i="20"/>
  <c r="Q24" i="20"/>
  <c r="T23" i="20"/>
  <c r="R23" i="20"/>
  <c r="G12" i="20"/>
  <c r="L90" i="20"/>
  <c r="P249" i="19"/>
  <c r="P266" i="19" s="1"/>
  <c r="M249" i="19"/>
  <c r="M266" i="19" s="1"/>
  <c r="N249" i="19"/>
  <c r="N266" i="19" s="1"/>
  <c r="E338" i="19"/>
  <c r="E334" i="19"/>
  <c r="E330" i="19"/>
  <c r="E337" i="19"/>
  <c r="E333" i="19"/>
  <c r="E336" i="19"/>
  <c r="E332" i="19"/>
  <c r="E335" i="19"/>
  <c r="E331" i="19"/>
  <c r="Q26" i="19"/>
  <c r="R24" i="19"/>
  <c r="T23" i="19"/>
  <c r="R23" i="19"/>
  <c r="G12" i="19"/>
  <c r="K48" i="19"/>
  <c r="L47" i="19"/>
  <c r="K54" i="19"/>
  <c r="K84" i="19"/>
  <c r="K85" i="19" s="1"/>
  <c r="E366" i="19"/>
  <c r="E362" i="19"/>
  <c r="E358" i="19"/>
  <c r="E365" i="19"/>
  <c r="E361" i="19"/>
  <c r="E364" i="19"/>
  <c r="E360" i="19"/>
  <c r="E363" i="19"/>
  <c r="E359" i="19"/>
  <c r="O196" i="19"/>
  <c r="K90" i="19"/>
  <c r="K103" i="19" s="1"/>
  <c r="K50" i="19"/>
  <c r="L71" i="19"/>
  <c r="O197" i="19"/>
  <c r="M23" i="19"/>
  <c r="M26" i="19" s="1"/>
  <c r="I125" i="19" s="1"/>
  <c r="G20" i="19"/>
  <c r="M18" i="19"/>
  <c r="G15" i="19" s="1"/>
  <c r="K100" i="19"/>
  <c r="L93" i="19"/>
  <c r="I183" i="19"/>
  <c r="M94" i="19"/>
  <c r="M104" i="19" s="1"/>
  <c r="M131" i="19" s="1"/>
  <c r="I184" i="19"/>
  <c r="J88" i="19"/>
  <c r="I91" i="19"/>
  <c r="J151" i="19"/>
  <c r="J55" i="19"/>
  <c r="K252" i="19"/>
  <c r="E350" i="19"/>
  <c r="E346" i="19"/>
  <c r="E349" i="19"/>
  <c r="E345" i="19"/>
  <c r="E352" i="19"/>
  <c r="E348" i="19"/>
  <c r="E344" i="19"/>
  <c r="E351" i="19"/>
  <c r="E347" i="19"/>
  <c r="O194" i="19"/>
  <c r="J99" i="19"/>
  <c r="K89" i="19"/>
  <c r="J255" i="19"/>
  <c r="K255" i="19"/>
  <c r="O195" i="19"/>
  <c r="J51" i="19"/>
  <c r="J52" i="19"/>
  <c r="L95" i="19"/>
  <c r="L105" i="19" s="1"/>
  <c r="L132" i="19" s="1"/>
  <c r="N73" i="19"/>
  <c r="J254" i="19"/>
  <c r="K254" i="19" s="1"/>
  <c r="M253" i="17"/>
  <c r="P254" i="17"/>
  <c r="Q254" i="17" s="1"/>
  <c r="O254" i="17"/>
  <c r="N252" i="17"/>
  <c r="O252" i="17" s="1"/>
  <c r="M255" i="17"/>
  <c r="M196" i="17"/>
  <c r="L94" i="17"/>
  <c r="L104" i="17" s="1"/>
  <c r="K84" i="17"/>
  <c r="K85" i="17" s="1"/>
  <c r="K48" i="17"/>
  <c r="L47" i="17"/>
  <c r="K54" i="17"/>
  <c r="L90" i="17"/>
  <c r="L103" i="17" s="1"/>
  <c r="J60" i="17"/>
  <c r="J62" i="17" s="1"/>
  <c r="J63" i="17" s="1"/>
  <c r="J57" i="17"/>
  <c r="J56" i="17"/>
  <c r="L88" i="17"/>
  <c r="K98" i="17"/>
  <c r="K91" i="17"/>
  <c r="J101" i="17"/>
  <c r="H141" i="17"/>
  <c r="L73" i="17"/>
  <c r="K155" i="17"/>
  <c r="G13" i="17"/>
  <c r="T25" i="17"/>
  <c r="R25" i="17"/>
  <c r="I182" i="17"/>
  <c r="I135" i="17"/>
  <c r="I137" i="17" s="1"/>
  <c r="E350" i="17"/>
  <c r="E346" i="17"/>
  <c r="E349" i="17"/>
  <c r="E345" i="17"/>
  <c r="E352" i="17"/>
  <c r="E348" i="17"/>
  <c r="E344" i="17"/>
  <c r="E351" i="17"/>
  <c r="E347" i="17"/>
  <c r="M197" i="17"/>
  <c r="J51" i="17"/>
  <c r="J52" i="17"/>
  <c r="E366" i="17"/>
  <c r="E362" i="17"/>
  <c r="E358" i="17"/>
  <c r="E365" i="17"/>
  <c r="E361" i="17"/>
  <c r="E364" i="17"/>
  <c r="E360" i="17"/>
  <c r="E363" i="17"/>
  <c r="E359" i="17"/>
  <c r="K93" i="17"/>
  <c r="J100" i="17"/>
  <c r="M195" i="17"/>
  <c r="M23" i="17"/>
  <c r="M26" i="17" s="1"/>
  <c r="I125" i="17" s="1"/>
  <c r="M18" i="17"/>
  <c r="G15" i="17" s="1"/>
  <c r="G20" i="17"/>
  <c r="Q194" i="17"/>
  <c r="E338" i="17"/>
  <c r="E334" i="17"/>
  <c r="E330" i="17"/>
  <c r="E337" i="17"/>
  <c r="E333" i="17"/>
  <c r="E336" i="17"/>
  <c r="E332" i="17"/>
  <c r="E335" i="17"/>
  <c r="E331" i="17"/>
  <c r="K95" i="17"/>
  <c r="K105" i="17" s="1"/>
  <c r="K106" i="17" s="1"/>
  <c r="R24" i="17"/>
  <c r="Q26" i="17"/>
  <c r="L89" i="17"/>
  <c r="K99" i="17"/>
  <c r="L71" i="17"/>
  <c r="K50" i="17"/>
  <c r="I184" i="17"/>
  <c r="I126" i="16"/>
  <c r="J51" i="16"/>
  <c r="J52" i="16"/>
  <c r="I91" i="16"/>
  <c r="J88" i="16"/>
  <c r="E366" i="16"/>
  <c r="E362" i="16"/>
  <c r="E358" i="16"/>
  <c r="E365" i="16"/>
  <c r="E361" i="16"/>
  <c r="E364" i="16"/>
  <c r="E360" i="16"/>
  <c r="E363" i="16"/>
  <c r="E359" i="16"/>
  <c r="K52" i="16"/>
  <c r="K51" i="16"/>
  <c r="K48" i="16"/>
  <c r="L47" i="16"/>
  <c r="K54" i="16"/>
  <c r="K84" i="16"/>
  <c r="K85" i="16" s="1"/>
  <c r="K99" i="16" s="1"/>
  <c r="L89" i="16"/>
  <c r="Q28" i="16"/>
  <c r="R28" i="16" s="1"/>
  <c r="R26" i="16"/>
  <c r="K90" i="16"/>
  <c r="K103" i="16" s="1"/>
  <c r="K106" i="16" s="1"/>
  <c r="I135" i="16"/>
  <c r="I137" i="16" s="1"/>
  <c r="E350" i="16"/>
  <c r="E346" i="16"/>
  <c r="E349" i="16"/>
  <c r="E345" i="16"/>
  <c r="E352" i="16"/>
  <c r="E348" i="16"/>
  <c r="E344" i="16"/>
  <c r="E351" i="16"/>
  <c r="E347" i="16"/>
  <c r="L95" i="16"/>
  <c r="L105" i="16" s="1"/>
  <c r="M26" i="16"/>
  <c r="I125" i="16" s="1"/>
  <c r="I127" i="16" s="1"/>
  <c r="J151" i="16"/>
  <c r="J55" i="16"/>
  <c r="N71" i="16"/>
  <c r="J100" i="16"/>
  <c r="K93" i="16"/>
  <c r="E338" i="16"/>
  <c r="E334" i="16"/>
  <c r="E330" i="16"/>
  <c r="E337" i="16"/>
  <c r="E333" i="16"/>
  <c r="E336" i="16"/>
  <c r="E332" i="16"/>
  <c r="E335" i="16"/>
  <c r="E331" i="16"/>
  <c r="N73" i="16"/>
  <c r="G26" i="16"/>
  <c r="M94" i="16"/>
  <c r="M104" i="16" s="1"/>
  <c r="G12" i="15"/>
  <c r="T23" i="15"/>
  <c r="R23" i="15"/>
  <c r="E338" i="15"/>
  <c r="E334" i="15"/>
  <c r="E330" i="15"/>
  <c r="E337" i="15"/>
  <c r="E333" i="15"/>
  <c r="E336" i="15"/>
  <c r="E332" i="15"/>
  <c r="E335" i="15"/>
  <c r="E331" i="15"/>
  <c r="I89" i="15"/>
  <c r="K90" i="15"/>
  <c r="K103" i="15" s="1"/>
  <c r="L84" i="15"/>
  <c r="L85" i="15" s="1"/>
  <c r="L48" i="15"/>
  <c r="M47" i="15"/>
  <c r="L54" i="15"/>
  <c r="M50" i="15"/>
  <c r="N71" i="15"/>
  <c r="E350" i="15"/>
  <c r="E346" i="15"/>
  <c r="E349" i="15"/>
  <c r="E345" i="15"/>
  <c r="E352" i="15"/>
  <c r="E348" i="15"/>
  <c r="E344" i="15"/>
  <c r="E347" i="15"/>
  <c r="E351" i="15"/>
  <c r="K94" i="15"/>
  <c r="K104" i="15" s="1"/>
  <c r="J100" i="15"/>
  <c r="K93" i="15"/>
  <c r="G20" i="15"/>
  <c r="M23" i="15"/>
  <c r="M26" i="15" s="1"/>
  <c r="I125" i="15" s="1"/>
  <c r="M18" i="15"/>
  <c r="G15" i="15" s="1"/>
  <c r="E366" i="15"/>
  <c r="E362" i="15"/>
  <c r="E358" i="15"/>
  <c r="E365" i="15"/>
  <c r="E361" i="15"/>
  <c r="E364" i="15"/>
  <c r="E360" i="15"/>
  <c r="E363" i="15"/>
  <c r="E359" i="15"/>
  <c r="K51" i="15"/>
  <c r="K52" i="15"/>
  <c r="K55" i="15"/>
  <c r="K88" i="15"/>
  <c r="J98" i="15"/>
  <c r="R25" i="15"/>
  <c r="G13" i="15"/>
  <c r="T25" i="15"/>
  <c r="G254" i="15" s="1"/>
  <c r="J57" i="15"/>
  <c r="J56" i="15"/>
  <c r="J60" i="15"/>
  <c r="J62" i="15" s="1"/>
  <c r="J63" i="15" s="1"/>
  <c r="K95" i="15"/>
  <c r="K105" i="15" s="1"/>
  <c r="L50" i="15"/>
  <c r="Q24" i="15"/>
  <c r="K94" i="14"/>
  <c r="K104" i="14" s="1"/>
  <c r="J57" i="14"/>
  <c r="J60" i="14"/>
  <c r="J62" i="14" s="1"/>
  <c r="J63" i="14" s="1"/>
  <c r="J56" i="14"/>
  <c r="J99" i="14"/>
  <c r="K89" i="14"/>
  <c r="J100" i="14"/>
  <c r="K93" i="14"/>
  <c r="E350" i="14"/>
  <c r="E346" i="14"/>
  <c r="E349" i="14"/>
  <c r="E345" i="14"/>
  <c r="E352" i="14"/>
  <c r="E348" i="14"/>
  <c r="E344" i="14"/>
  <c r="E351" i="14"/>
  <c r="E347" i="14"/>
  <c r="K95" i="14"/>
  <c r="K105" i="14" s="1"/>
  <c r="K48" i="14"/>
  <c r="L47" i="14"/>
  <c r="K54" i="14"/>
  <c r="K55" i="14" s="1"/>
  <c r="K84" i="14"/>
  <c r="K85" i="14" s="1"/>
  <c r="E338" i="14"/>
  <c r="E334" i="14"/>
  <c r="E330" i="14"/>
  <c r="E337" i="14"/>
  <c r="E333" i="14"/>
  <c r="E336" i="14"/>
  <c r="E332" i="14"/>
  <c r="E331" i="14"/>
  <c r="E335" i="14"/>
  <c r="T23" i="14"/>
  <c r="R23" i="14"/>
  <c r="G12" i="14"/>
  <c r="J52" i="14"/>
  <c r="J51" i="14"/>
  <c r="K90" i="14"/>
  <c r="K103" i="14" s="1"/>
  <c r="K106" i="14" s="1"/>
  <c r="I101" i="14"/>
  <c r="I108" i="14" s="1"/>
  <c r="I88" i="14"/>
  <c r="E366" i="14"/>
  <c r="E362" i="14"/>
  <c r="E358" i="14"/>
  <c r="E365" i="14"/>
  <c r="E361" i="14"/>
  <c r="E364" i="14"/>
  <c r="E360" i="14"/>
  <c r="E363" i="14"/>
  <c r="E359" i="14"/>
  <c r="K50" i="14"/>
  <c r="L71" i="14"/>
  <c r="Q24" i="14"/>
  <c r="M23" i="13"/>
  <c r="M26" i="13" s="1"/>
  <c r="M18" i="13"/>
  <c r="G15" i="13" s="1"/>
  <c r="G20" i="13"/>
  <c r="J51" i="13"/>
  <c r="J52" i="13"/>
  <c r="G14" i="13"/>
  <c r="T27" i="13"/>
  <c r="G254" i="13" s="1"/>
  <c r="R27" i="13"/>
  <c r="E357" i="13" a="1"/>
  <c r="E329" i="13" a="1"/>
  <c r="E343" i="13" a="1"/>
  <c r="N71" i="13"/>
  <c r="R24" i="13"/>
  <c r="Q26" i="13"/>
  <c r="K51" i="13"/>
  <c r="K52" i="13"/>
  <c r="J60" i="13"/>
  <c r="J62" i="13" s="1"/>
  <c r="J63" i="13" s="1"/>
  <c r="J56" i="13"/>
  <c r="J57" i="13"/>
  <c r="G13" i="13"/>
  <c r="T25" i="13"/>
  <c r="G253" i="13" s="1"/>
  <c r="R25" i="13"/>
  <c r="K48" i="13"/>
  <c r="L47" i="13"/>
  <c r="L83" i="13" s="1"/>
  <c r="L84" i="13" s="1"/>
  <c r="L102" i="13" s="1"/>
  <c r="K54" i="13"/>
  <c r="K55" i="13" s="1"/>
  <c r="G252" i="13"/>
  <c r="M47" i="12"/>
  <c r="L51" i="12"/>
  <c r="L48" i="12"/>
  <c r="T23" i="12"/>
  <c r="R23" i="12"/>
  <c r="G12" i="12"/>
  <c r="E337" i="12"/>
  <c r="E333" i="12"/>
  <c r="E329" i="12"/>
  <c r="E334" i="12"/>
  <c r="E336" i="12"/>
  <c r="E332" i="12"/>
  <c r="E335" i="12"/>
  <c r="E331" i="12"/>
  <c r="E330" i="12"/>
  <c r="E349" i="12"/>
  <c r="E345" i="12"/>
  <c r="E348" i="12"/>
  <c r="E344" i="12"/>
  <c r="E351" i="12"/>
  <c r="E347" i="12"/>
  <c r="E343" i="12"/>
  <c r="E350" i="12"/>
  <c r="E346" i="12"/>
  <c r="E365" i="12"/>
  <c r="E361" i="12"/>
  <c r="E357" i="12"/>
  <c r="E364" i="12"/>
  <c r="E360" i="12"/>
  <c r="E363" i="12"/>
  <c r="E359" i="12"/>
  <c r="E362" i="12"/>
  <c r="E358" i="12"/>
  <c r="M23" i="12"/>
  <c r="M26" i="12" s="1"/>
  <c r="M18" i="12"/>
  <c r="G15" i="12" s="1"/>
  <c r="G20" i="12"/>
  <c r="T27" i="12"/>
  <c r="G254" i="12" s="1"/>
  <c r="G14" i="12"/>
  <c r="R27" i="12"/>
  <c r="Q24" i="12"/>
  <c r="E350" i="11"/>
  <c r="E346" i="11"/>
  <c r="E349" i="11"/>
  <c r="E345" i="11"/>
  <c r="E351" i="11"/>
  <c r="E347" i="11"/>
  <c r="E352" i="11"/>
  <c r="E348" i="11"/>
  <c r="E344" i="11"/>
  <c r="T27" i="11"/>
  <c r="G255" i="11" s="1"/>
  <c r="R27" i="11"/>
  <c r="R23" i="11"/>
  <c r="T23" i="11"/>
  <c r="E366" i="11"/>
  <c r="E362" i="11"/>
  <c r="E358" i="11"/>
  <c r="E359" i="11"/>
  <c r="E365" i="11"/>
  <c r="E361" i="11"/>
  <c r="E363" i="11"/>
  <c r="E364" i="11"/>
  <c r="E360" i="11"/>
  <c r="E338" i="11"/>
  <c r="E334" i="11"/>
  <c r="E330" i="11"/>
  <c r="E335" i="11"/>
  <c r="E331" i="11"/>
  <c r="E337" i="11"/>
  <c r="E333" i="11"/>
  <c r="E336" i="11"/>
  <c r="E332" i="11"/>
  <c r="M18" i="11"/>
  <c r="M23" i="11"/>
  <c r="M26" i="11" s="1"/>
  <c r="Q24" i="11"/>
  <c r="E350" i="10"/>
  <c r="E346" i="10"/>
  <c r="E349" i="10"/>
  <c r="E345" i="10"/>
  <c r="E351" i="10"/>
  <c r="E347" i="10"/>
  <c r="E352" i="10"/>
  <c r="E348" i="10"/>
  <c r="E344" i="10"/>
  <c r="M23" i="10"/>
  <c r="M26" i="10" s="1"/>
  <c r="M18" i="10"/>
  <c r="E338" i="10"/>
  <c r="E334" i="10"/>
  <c r="E330" i="10"/>
  <c r="E335" i="10"/>
  <c r="E331" i="10"/>
  <c r="E337" i="10"/>
  <c r="E333" i="10"/>
  <c r="E336" i="10"/>
  <c r="E332" i="10"/>
  <c r="E366" i="10"/>
  <c r="E362" i="10"/>
  <c r="E358" i="10"/>
  <c r="E359" i="10"/>
  <c r="E365" i="10"/>
  <c r="E361" i="10"/>
  <c r="E363" i="10"/>
  <c r="E364" i="10"/>
  <c r="E360" i="10"/>
  <c r="E338" i="9"/>
  <c r="E334" i="9"/>
  <c r="E330" i="9"/>
  <c r="E336" i="9"/>
  <c r="E332" i="9"/>
  <c r="E337" i="9"/>
  <c r="E333" i="9"/>
  <c r="E335" i="9"/>
  <c r="E331" i="9"/>
  <c r="E366" i="9"/>
  <c r="E362" i="9"/>
  <c r="E358" i="9"/>
  <c r="E360" i="9"/>
  <c r="E359" i="9"/>
  <c r="E365" i="9"/>
  <c r="E361" i="9"/>
  <c r="E364" i="9"/>
  <c r="E363" i="9"/>
  <c r="E350" i="9"/>
  <c r="E346" i="9"/>
  <c r="E352" i="9"/>
  <c r="E348" i="9"/>
  <c r="E344" i="9"/>
  <c r="E351" i="9"/>
  <c r="E347" i="9"/>
  <c r="E349" i="9"/>
  <c r="E345" i="9"/>
  <c r="E318" i="8"/>
  <c r="J52" i="8"/>
  <c r="J51" i="8"/>
  <c r="N70" i="8"/>
  <c r="N194" i="8"/>
  <c r="M73" i="8"/>
  <c r="Q197" i="8"/>
  <c r="P195" i="8"/>
  <c r="E322" i="8"/>
  <c r="K48" i="8"/>
  <c r="L196" i="8"/>
  <c r="E359" i="7"/>
  <c r="E316" i="7"/>
  <c r="E345" i="7"/>
  <c r="J286" i="7"/>
  <c r="K254" i="7"/>
  <c r="L254" i="7" s="1"/>
  <c r="N252" i="7"/>
  <c r="O252" i="7" s="1"/>
  <c r="G12" i="7"/>
  <c r="I182" i="7" s="1"/>
  <c r="Q26" i="7"/>
  <c r="Q28" i="7" s="1"/>
  <c r="R28" i="7" s="1"/>
  <c r="J100" i="7"/>
  <c r="J122" i="7" s="1"/>
  <c r="R23" i="7"/>
  <c r="T23" i="7"/>
  <c r="G253" i="7" s="1"/>
  <c r="I88" i="7"/>
  <c r="I101" i="7"/>
  <c r="I108" i="7" s="1"/>
  <c r="L197" i="7"/>
  <c r="L93" i="7"/>
  <c r="M196" i="7"/>
  <c r="J54" i="7"/>
  <c r="M195" i="7"/>
  <c r="L47" i="7"/>
  <c r="K85" i="7"/>
  <c r="K121" i="7" s="1"/>
  <c r="K54" i="7"/>
  <c r="K50" i="7"/>
  <c r="L94" i="7"/>
  <c r="K131" i="7"/>
  <c r="L95" i="7"/>
  <c r="J50" i="7"/>
  <c r="G20" i="7"/>
  <c r="M23" i="7"/>
  <c r="M26" i="7" s="1"/>
  <c r="I125" i="7" s="1"/>
  <c r="J125" i="7" s="1"/>
  <c r="K125" i="7" s="1"/>
  <c r="L125" i="7" s="1"/>
  <c r="M125" i="7" s="1"/>
  <c r="N125" i="7" s="1"/>
  <c r="O125" i="7" s="1"/>
  <c r="P125" i="7" s="1"/>
  <c r="Q125" i="7" s="1"/>
  <c r="M18" i="7"/>
  <c r="G15" i="7" s="1"/>
  <c r="J103" i="7"/>
  <c r="K90" i="7"/>
  <c r="O70" i="7"/>
  <c r="L73" i="7"/>
  <c r="G14" i="7"/>
  <c r="I184" i="7" s="1"/>
  <c r="J203" i="7" s="1"/>
  <c r="R27" i="7"/>
  <c r="T27" i="7"/>
  <c r="G255" i="7" s="1"/>
  <c r="N89" i="7"/>
  <c r="I57" i="7"/>
  <c r="I56" i="7"/>
  <c r="I90" i="13" l="1"/>
  <c r="J87" i="13"/>
  <c r="M92" i="13"/>
  <c r="L99" i="13"/>
  <c r="M88" i="13"/>
  <c r="L98" i="13"/>
  <c r="M54" i="12"/>
  <c r="M55" i="12" s="1"/>
  <c r="M50" i="12"/>
  <c r="M52" i="12" s="1"/>
  <c r="L55" i="12"/>
  <c r="J56" i="12"/>
  <c r="J60" i="12"/>
  <c r="J62" i="12" s="1"/>
  <c r="J63" i="12" s="1"/>
  <c r="J57" i="12"/>
  <c r="K57" i="12"/>
  <c r="L254" i="22"/>
  <c r="M254" i="22"/>
  <c r="K57" i="22"/>
  <c r="K56" i="22"/>
  <c r="L105" i="22"/>
  <c r="L132" i="22" s="1"/>
  <c r="M95" i="22"/>
  <c r="N197" i="22"/>
  <c r="L99" i="22"/>
  <c r="L121" i="22" s="1"/>
  <c r="M89" i="22"/>
  <c r="P196" i="22"/>
  <c r="L50" i="22"/>
  <c r="M71" i="22"/>
  <c r="I184" i="22"/>
  <c r="N195" i="22"/>
  <c r="K124" i="22"/>
  <c r="L124" i="22" s="1"/>
  <c r="R24" i="22"/>
  <c r="Q26" i="22"/>
  <c r="L55" i="22"/>
  <c r="L151" i="22"/>
  <c r="K103" i="22"/>
  <c r="L90" i="22"/>
  <c r="O194" i="22"/>
  <c r="K255" i="22"/>
  <c r="J255" i="22"/>
  <c r="M255" i="22" s="1"/>
  <c r="L255" i="22"/>
  <c r="G253" i="22"/>
  <c r="T28" i="22"/>
  <c r="G25" i="22" s="1"/>
  <c r="L155" i="22"/>
  <c r="L286" i="22" s="1"/>
  <c r="M73" i="22"/>
  <c r="N94" i="22"/>
  <c r="I182" i="22"/>
  <c r="I135" i="22"/>
  <c r="I137" i="22" s="1"/>
  <c r="M48" i="22"/>
  <c r="N47" i="22"/>
  <c r="M84" i="22"/>
  <c r="M85" i="22" s="1"/>
  <c r="M54" i="22"/>
  <c r="J106" i="22"/>
  <c r="J130" i="22"/>
  <c r="J133" i="22" s="1"/>
  <c r="K284" i="22"/>
  <c r="K51" i="22"/>
  <c r="K52" i="22"/>
  <c r="L100" i="22"/>
  <c r="L122" i="22" s="1"/>
  <c r="M93" i="22"/>
  <c r="J88" i="22"/>
  <c r="I91" i="22"/>
  <c r="N252" i="22"/>
  <c r="M252" i="22"/>
  <c r="K130" i="19"/>
  <c r="K133" i="19" s="1"/>
  <c r="K106" i="19"/>
  <c r="K106" i="15"/>
  <c r="M94" i="13"/>
  <c r="L104" i="13"/>
  <c r="M93" i="13"/>
  <c r="L103" i="13"/>
  <c r="J133" i="20"/>
  <c r="K121" i="20"/>
  <c r="L89" i="20"/>
  <c r="N196" i="20"/>
  <c r="J202" i="20"/>
  <c r="K124" i="20"/>
  <c r="I182" i="20"/>
  <c r="I135" i="20"/>
  <c r="I137" i="20" s="1"/>
  <c r="L155" i="20"/>
  <c r="M73" i="20"/>
  <c r="G26" i="20"/>
  <c r="L122" i="20"/>
  <c r="M93" i="20"/>
  <c r="M54" i="20"/>
  <c r="M84" i="20"/>
  <c r="M85" i="20" s="1"/>
  <c r="M48" i="20"/>
  <c r="N47" i="20"/>
  <c r="O194" i="20"/>
  <c r="L50" i="20"/>
  <c r="M71" i="20"/>
  <c r="K130" i="20"/>
  <c r="G253" i="20"/>
  <c r="T28" i="20"/>
  <c r="G25" i="20" s="1"/>
  <c r="K254" i="20"/>
  <c r="K52" i="20"/>
  <c r="K51" i="20"/>
  <c r="K88" i="20"/>
  <c r="J98" i="20"/>
  <c r="J91" i="20"/>
  <c r="L252" i="20"/>
  <c r="I184" i="20"/>
  <c r="L132" i="20"/>
  <c r="M95" i="20"/>
  <c r="K131" i="20"/>
  <c r="L94" i="20"/>
  <c r="N197" i="20"/>
  <c r="J57" i="20"/>
  <c r="J56" i="20"/>
  <c r="J255" i="20"/>
  <c r="M90" i="20"/>
  <c r="R24" i="20"/>
  <c r="Q26" i="20"/>
  <c r="N195" i="20"/>
  <c r="L151" i="20"/>
  <c r="L55" i="20"/>
  <c r="K55" i="20"/>
  <c r="M255" i="19"/>
  <c r="L254" i="19"/>
  <c r="L255" i="19"/>
  <c r="J203" i="19"/>
  <c r="J202" i="19"/>
  <c r="M71" i="19"/>
  <c r="L50" i="19"/>
  <c r="I182" i="19"/>
  <c r="I135" i="19"/>
  <c r="I137" i="19" s="1"/>
  <c r="R26" i="19"/>
  <c r="Q28" i="19"/>
  <c r="R28" i="19" s="1"/>
  <c r="M95" i="19"/>
  <c r="M105" i="19" s="1"/>
  <c r="M132" i="19" s="1"/>
  <c r="P195" i="19"/>
  <c r="N255" i="19"/>
  <c r="O255" i="19" s="1"/>
  <c r="P255" i="19" s="1"/>
  <c r="P194" i="19"/>
  <c r="M93" i="19"/>
  <c r="K52" i="19"/>
  <c r="K51" i="19"/>
  <c r="P196" i="19"/>
  <c r="K151" i="19"/>
  <c r="K55" i="19"/>
  <c r="M254" i="19"/>
  <c r="K99" i="19"/>
  <c r="L89" i="19"/>
  <c r="K88" i="19"/>
  <c r="J98" i="19"/>
  <c r="J101" i="19" s="1"/>
  <c r="J108" i="19" s="1"/>
  <c r="J91" i="19"/>
  <c r="N94" i="19"/>
  <c r="N104" i="19" s="1"/>
  <c r="N131" i="19" s="1"/>
  <c r="L90" i="19"/>
  <c r="L103" i="19" s="1"/>
  <c r="L54" i="19"/>
  <c r="L84" i="19"/>
  <c r="L85" i="19" s="1"/>
  <c r="L48" i="19"/>
  <c r="M47" i="19"/>
  <c r="L155" i="19"/>
  <c r="G253" i="19"/>
  <c r="T28" i="19"/>
  <c r="G25" i="19" s="1"/>
  <c r="O73" i="19"/>
  <c r="J57" i="19"/>
  <c r="J56" i="19"/>
  <c r="P197" i="19"/>
  <c r="L252" i="19"/>
  <c r="O253" i="17"/>
  <c r="N253" i="17"/>
  <c r="P253" i="17" s="1"/>
  <c r="N255" i="17"/>
  <c r="Q255" i="17" s="1"/>
  <c r="P252" i="17"/>
  <c r="Q252" i="17" s="1"/>
  <c r="O255" i="17"/>
  <c r="P255" i="17" s="1"/>
  <c r="J203" i="17"/>
  <c r="K100" i="17"/>
  <c r="L93" i="17"/>
  <c r="J150" i="17"/>
  <c r="J65" i="17"/>
  <c r="J64" i="17"/>
  <c r="L48" i="17"/>
  <c r="M47" i="17"/>
  <c r="L84" i="17"/>
  <c r="L85" i="17" s="1"/>
  <c r="L54" i="17"/>
  <c r="M94" i="17"/>
  <c r="M104" i="17" s="1"/>
  <c r="K52" i="17"/>
  <c r="K51" i="17"/>
  <c r="Q28" i="17"/>
  <c r="R28" i="17" s="1"/>
  <c r="R26" i="17"/>
  <c r="L95" i="17"/>
  <c r="L105" i="17" s="1"/>
  <c r="L106" i="17" s="1"/>
  <c r="N197" i="17"/>
  <c r="G254" i="17"/>
  <c r="T28" i="17"/>
  <c r="G25" i="17" s="1"/>
  <c r="G26" i="17" s="1"/>
  <c r="M88" i="17"/>
  <c r="L91" i="17"/>
  <c r="M90" i="17"/>
  <c r="M103" i="17" s="1"/>
  <c r="L155" i="17"/>
  <c r="M73" i="17"/>
  <c r="L50" i="17"/>
  <c r="M71" i="17"/>
  <c r="N195" i="17"/>
  <c r="I183" i="17"/>
  <c r="J108" i="17"/>
  <c r="N196" i="17"/>
  <c r="L99" i="17"/>
  <c r="M89" i="17"/>
  <c r="K101" i="17"/>
  <c r="J201" i="17"/>
  <c r="K151" i="17"/>
  <c r="K55" i="17"/>
  <c r="H23" i="16"/>
  <c r="H21" i="16"/>
  <c r="G16" i="16"/>
  <c r="H26" i="16"/>
  <c r="H24" i="16"/>
  <c r="H22" i="16"/>
  <c r="M95" i="16"/>
  <c r="M105" i="16" s="1"/>
  <c r="H20" i="16"/>
  <c r="H25" i="16"/>
  <c r="N94" i="16"/>
  <c r="N104" i="16" s="1"/>
  <c r="K100" i="16"/>
  <c r="L93" i="16"/>
  <c r="O71" i="16"/>
  <c r="L90" i="16"/>
  <c r="L103" i="16" s="1"/>
  <c r="L106" i="16" s="1"/>
  <c r="L54" i="16"/>
  <c r="L84" i="16"/>
  <c r="L85" i="16" s="1"/>
  <c r="L48" i="16"/>
  <c r="M47" i="16"/>
  <c r="L50" i="16"/>
  <c r="L155" i="16"/>
  <c r="J98" i="16"/>
  <c r="J101" i="16" s="1"/>
  <c r="J108" i="16" s="1"/>
  <c r="J91" i="16"/>
  <c r="K88" i="16"/>
  <c r="K151" i="16"/>
  <c r="K55" i="16"/>
  <c r="O73" i="16"/>
  <c r="J60" i="16"/>
  <c r="J62" i="16" s="1"/>
  <c r="J63" i="16" s="1"/>
  <c r="J57" i="16"/>
  <c r="J56" i="16"/>
  <c r="L99" i="16"/>
  <c r="M89" i="16"/>
  <c r="Q26" i="15"/>
  <c r="R24" i="15"/>
  <c r="J65" i="15"/>
  <c r="J64" i="15"/>
  <c r="G26" i="15"/>
  <c r="L94" i="15"/>
  <c r="L104" i="15" s="1"/>
  <c r="L55" i="15"/>
  <c r="M52" i="15"/>
  <c r="M51" i="15"/>
  <c r="L51" i="15"/>
  <c r="L52" i="15"/>
  <c r="L88" i="15"/>
  <c r="K98" i="15"/>
  <c r="K100" i="15"/>
  <c r="L93" i="15"/>
  <c r="M84" i="15"/>
  <c r="M85" i="15" s="1"/>
  <c r="M48" i="15"/>
  <c r="N47" i="15"/>
  <c r="M54" i="15"/>
  <c r="M55" i="15" s="1"/>
  <c r="L90" i="15"/>
  <c r="L103" i="15" s="1"/>
  <c r="L106" i="15" s="1"/>
  <c r="G253" i="15"/>
  <c r="T28" i="15"/>
  <c r="G25" i="15" s="1"/>
  <c r="L95" i="15"/>
  <c r="L105" i="15" s="1"/>
  <c r="K56" i="15"/>
  <c r="K60" i="15"/>
  <c r="K62" i="15" s="1"/>
  <c r="K63" i="15" s="1"/>
  <c r="K57" i="15"/>
  <c r="O71" i="15"/>
  <c r="N50" i="15"/>
  <c r="J89" i="15"/>
  <c r="I91" i="15"/>
  <c r="I135" i="15"/>
  <c r="I137" i="15" s="1"/>
  <c r="M71" i="14"/>
  <c r="L50" i="14"/>
  <c r="J65" i="14"/>
  <c r="J64" i="14"/>
  <c r="K52" i="14"/>
  <c r="K51" i="14"/>
  <c r="L89" i="14"/>
  <c r="K99" i="14"/>
  <c r="G253" i="14"/>
  <c r="T28" i="14"/>
  <c r="G25" i="14" s="1"/>
  <c r="L84" i="14"/>
  <c r="L85" i="14" s="1"/>
  <c r="L54" i="14"/>
  <c r="L55" i="14" s="1"/>
  <c r="M47" i="14"/>
  <c r="L48" i="14"/>
  <c r="L90" i="14"/>
  <c r="L103" i="14" s="1"/>
  <c r="L95" i="14"/>
  <c r="L105" i="14" s="1"/>
  <c r="K100" i="14"/>
  <c r="L93" i="14"/>
  <c r="L94" i="14"/>
  <c r="L104" i="14" s="1"/>
  <c r="Q26" i="14"/>
  <c r="R24" i="14"/>
  <c r="J88" i="14"/>
  <c r="I91" i="14"/>
  <c r="K56" i="14"/>
  <c r="K60" i="14"/>
  <c r="K62" i="14" s="1"/>
  <c r="K63" i="14" s="1"/>
  <c r="K57" i="14"/>
  <c r="J64" i="13"/>
  <c r="J65" i="13"/>
  <c r="E365" i="13"/>
  <c r="E361" i="13"/>
  <c r="E357" i="13"/>
  <c r="E363" i="13"/>
  <c r="E359" i="13"/>
  <c r="E364" i="13"/>
  <c r="E360" i="13"/>
  <c r="E362" i="13"/>
  <c r="E358" i="13"/>
  <c r="T28" i="13"/>
  <c r="G25" i="13" s="1"/>
  <c r="O71" i="13"/>
  <c r="K60" i="13"/>
  <c r="K62" i="13" s="1"/>
  <c r="K63" i="13" s="1"/>
  <c r="K57" i="13"/>
  <c r="K56" i="13"/>
  <c r="E337" i="13"/>
  <c r="E333" i="13"/>
  <c r="E329" i="13"/>
  <c r="E336" i="13"/>
  <c r="E332" i="13"/>
  <c r="E330" i="13"/>
  <c r="E335" i="13"/>
  <c r="E334" i="13"/>
  <c r="E331" i="13"/>
  <c r="L48" i="13"/>
  <c r="M47" i="13"/>
  <c r="M83" i="13" s="1"/>
  <c r="M84" i="13" s="1"/>
  <c r="M102" i="13" s="1"/>
  <c r="L54" i="13"/>
  <c r="L55" i="13" s="1"/>
  <c r="L50" i="13"/>
  <c r="Q28" i="13"/>
  <c r="R28" i="13" s="1"/>
  <c r="R26" i="13"/>
  <c r="E349" i="13"/>
  <c r="E345" i="13"/>
  <c r="E351" i="13"/>
  <c r="E347" i="13"/>
  <c r="E343" i="13"/>
  <c r="E348" i="13"/>
  <c r="E344" i="13"/>
  <c r="E350" i="13"/>
  <c r="E346" i="13"/>
  <c r="G26" i="13"/>
  <c r="H20" i="13" s="1"/>
  <c r="M51" i="12"/>
  <c r="M48" i="12"/>
  <c r="M56" i="12"/>
  <c r="N47" i="12"/>
  <c r="R24" i="12"/>
  <c r="Q26" i="12"/>
  <c r="G252" i="12"/>
  <c r="T28" i="12"/>
  <c r="G25" i="12" s="1"/>
  <c r="R24" i="11"/>
  <c r="Q26" i="11"/>
  <c r="G253" i="11"/>
  <c r="T28" i="11"/>
  <c r="M196" i="8"/>
  <c r="G253" i="8"/>
  <c r="J57" i="8"/>
  <c r="J56" i="8"/>
  <c r="L48" i="8"/>
  <c r="E323" i="8"/>
  <c r="Q195" i="8"/>
  <c r="N73" i="8"/>
  <c r="O194" i="8"/>
  <c r="E317" i="8"/>
  <c r="G26" i="8"/>
  <c r="H20" i="8" s="1"/>
  <c r="K52" i="8"/>
  <c r="K51" i="8"/>
  <c r="O70" i="8"/>
  <c r="E344" i="7"/>
  <c r="E358" i="7"/>
  <c r="E330" i="7"/>
  <c r="I280" i="7"/>
  <c r="I290" i="7" s="1"/>
  <c r="I279" i="7"/>
  <c r="I289" i="7" s="1"/>
  <c r="K286" i="7"/>
  <c r="J284" i="7"/>
  <c r="J306" i="7"/>
  <c r="K284" i="7"/>
  <c r="K306" i="7"/>
  <c r="M254" i="7"/>
  <c r="N254" i="7" s="1"/>
  <c r="J255" i="7"/>
  <c r="K255" i="7" s="1"/>
  <c r="J253" i="7"/>
  <c r="K253" i="7" s="1"/>
  <c r="J106" i="7"/>
  <c r="J130" i="7"/>
  <c r="J133" i="7" s="1"/>
  <c r="O254" i="7"/>
  <c r="P254" i="7" s="1"/>
  <c r="Q254" i="7" s="1"/>
  <c r="P252" i="7"/>
  <c r="Q252" i="7" s="1"/>
  <c r="R26" i="7"/>
  <c r="K132" i="7"/>
  <c r="T28" i="7"/>
  <c r="G26" i="7" s="1"/>
  <c r="K55" i="7"/>
  <c r="N195" i="7"/>
  <c r="M93" i="7"/>
  <c r="I91" i="7"/>
  <c r="J88" i="7"/>
  <c r="P70" i="7"/>
  <c r="J151" i="7"/>
  <c r="J124" i="7" s="1"/>
  <c r="J55" i="7"/>
  <c r="M73" i="7"/>
  <c r="M94" i="7"/>
  <c r="M47" i="7"/>
  <c r="L85" i="7"/>
  <c r="L121" i="7" s="1"/>
  <c r="L54" i="7"/>
  <c r="L50" i="7"/>
  <c r="L48" i="7"/>
  <c r="N196" i="7"/>
  <c r="M197" i="7"/>
  <c r="I135" i="7"/>
  <c r="I137" i="7" s="1"/>
  <c r="L90" i="7"/>
  <c r="J51" i="7"/>
  <c r="J52" i="7"/>
  <c r="M95" i="7"/>
  <c r="L132" i="7"/>
  <c r="K51" i="7"/>
  <c r="K52" i="7"/>
  <c r="K122" i="7"/>
  <c r="I185" i="7"/>
  <c r="I281" i="7" s="1"/>
  <c r="I291" i="7" s="1"/>
  <c r="J201" i="7"/>
  <c r="O89" i="7"/>
  <c r="N88" i="13" l="1"/>
  <c r="M98" i="13"/>
  <c r="K87" i="13"/>
  <c r="J97" i="13"/>
  <c r="J100" i="13" s="1"/>
  <c r="J107" i="13" s="1"/>
  <c r="J90" i="13"/>
  <c r="N92" i="13"/>
  <c r="M99" i="13"/>
  <c r="L60" i="12"/>
  <c r="L62" i="12" s="1"/>
  <c r="L63" i="12" s="1"/>
  <c r="L57" i="12"/>
  <c r="L56" i="12"/>
  <c r="N54" i="12"/>
  <c r="N55" i="12" s="1"/>
  <c r="N56" i="12" s="1"/>
  <c r="N50" i="12"/>
  <c r="J65" i="12"/>
  <c r="J64" i="12"/>
  <c r="K65" i="12"/>
  <c r="M57" i="12"/>
  <c r="M60" i="12"/>
  <c r="M62" i="12" s="1"/>
  <c r="M63" i="12" s="1"/>
  <c r="O197" i="22"/>
  <c r="N93" i="22"/>
  <c r="M100" i="22"/>
  <c r="M122" i="22" s="1"/>
  <c r="M151" i="22"/>
  <c r="O94" i="22"/>
  <c r="L103" i="22"/>
  <c r="M90" i="22"/>
  <c r="R26" i="22"/>
  <c r="Q28" i="22"/>
  <c r="R28" i="22" s="1"/>
  <c r="M50" i="22"/>
  <c r="N71" i="22"/>
  <c r="M99" i="22"/>
  <c r="M121" i="22" s="1"/>
  <c r="N89" i="22"/>
  <c r="N95" i="22"/>
  <c r="M105" i="22"/>
  <c r="M132" i="22" s="1"/>
  <c r="M155" i="22"/>
  <c r="M286" i="22" s="1"/>
  <c r="N73" i="22"/>
  <c r="J203" i="22"/>
  <c r="M104" i="22"/>
  <c r="M131" i="22" s="1"/>
  <c r="I126" i="22"/>
  <c r="G26" i="22"/>
  <c r="N255" i="22"/>
  <c r="P194" i="22"/>
  <c r="K106" i="22"/>
  <c r="K130" i="22"/>
  <c r="K133" i="22" s="1"/>
  <c r="O195" i="22"/>
  <c r="L284" i="22"/>
  <c r="L52" i="22"/>
  <c r="L51" i="22"/>
  <c r="N254" i="22"/>
  <c r="O254" i="22" s="1"/>
  <c r="J98" i="22"/>
  <c r="J91" i="22"/>
  <c r="K88" i="22"/>
  <c r="J201" i="22"/>
  <c r="J204" i="22" s="1"/>
  <c r="I185" i="22"/>
  <c r="I281" i="22" s="1"/>
  <c r="I291" i="22" s="1"/>
  <c r="I280" i="22"/>
  <c r="I290" i="22" s="1"/>
  <c r="I279" i="22"/>
  <c r="I289" i="22" s="1"/>
  <c r="L56" i="22"/>
  <c r="L57" i="22"/>
  <c r="O252" i="22"/>
  <c r="N54" i="22"/>
  <c r="O47" i="22"/>
  <c r="N48" i="22"/>
  <c r="N84" i="22"/>
  <c r="N85" i="22" s="1"/>
  <c r="J253" i="22"/>
  <c r="J256" i="22" s="1"/>
  <c r="Q196" i="22"/>
  <c r="L130" i="19"/>
  <c r="L133" i="19" s="1"/>
  <c r="L106" i="19"/>
  <c r="L106" i="14"/>
  <c r="N93" i="13"/>
  <c r="M103" i="13"/>
  <c r="N94" i="13"/>
  <c r="M104" i="13"/>
  <c r="L105" i="13"/>
  <c r="K133" i="20"/>
  <c r="H25" i="7"/>
  <c r="O197" i="20"/>
  <c r="M132" i="20"/>
  <c r="N95" i="20"/>
  <c r="M151" i="20"/>
  <c r="M55" i="20"/>
  <c r="M89" i="20"/>
  <c r="L121" i="20"/>
  <c r="L57" i="20"/>
  <c r="L56" i="20"/>
  <c r="I126" i="20"/>
  <c r="H25" i="20"/>
  <c r="N71" i="20"/>
  <c r="M50" i="20"/>
  <c r="N84" i="20"/>
  <c r="N85" i="20" s="1"/>
  <c r="N48" i="20"/>
  <c r="O47" i="20"/>
  <c r="N54" i="20"/>
  <c r="N93" i="20"/>
  <c r="M122" i="20"/>
  <c r="L254" i="20"/>
  <c r="R26" i="20"/>
  <c r="Q28" i="20"/>
  <c r="R28" i="20" s="1"/>
  <c r="P194" i="20"/>
  <c r="H26" i="20"/>
  <c r="H22" i="20"/>
  <c r="H23" i="20"/>
  <c r="H21" i="20"/>
  <c r="G16" i="20"/>
  <c r="H24" i="20"/>
  <c r="O196" i="20"/>
  <c r="K57" i="20"/>
  <c r="K56" i="20"/>
  <c r="N90" i="20"/>
  <c r="K255" i="20"/>
  <c r="L131" i="20"/>
  <c r="M94" i="20"/>
  <c r="J253" i="20"/>
  <c r="J256" i="20" s="1"/>
  <c r="K253" i="20"/>
  <c r="K256" i="20" s="1"/>
  <c r="L52" i="20"/>
  <c r="L51" i="20"/>
  <c r="M155" i="20"/>
  <c r="N73" i="20"/>
  <c r="L124" i="20"/>
  <c r="M124" i="20" s="1"/>
  <c r="L88" i="20"/>
  <c r="K91" i="20"/>
  <c r="O195" i="20"/>
  <c r="L106" i="20"/>
  <c r="L130" i="20"/>
  <c r="J203" i="20"/>
  <c r="J120" i="20"/>
  <c r="J101" i="20"/>
  <c r="J108" i="20" s="1"/>
  <c r="K106" i="20"/>
  <c r="H20" i="20"/>
  <c r="J201" i="20"/>
  <c r="J204" i="20" s="1"/>
  <c r="I185" i="20"/>
  <c r="M252" i="20"/>
  <c r="Q255" i="19"/>
  <c r="J253" i="19"/>
  <c r="J256" i="19" s="1"/>
  <c r="J109" i="19"/>
  <c r="J153" i="19" s="1"/>
  <c r="Q196" i="19"/>
  <c r="N93" i="19"/>
  <c r="N254" i="19"/>
  <c r="L52" i="19"/>
  <c r="L51" i="19"/>
  <c r="Q197" i="19"/>
  <c r="P73" i="19"/>
  <c r="L151" i="19"/>
  <c r="L55" i="19"/>
  <c r="K98" i="19"/>
  <c r="K101" i="19" s="1"/>
  <c r="K108" i="19" s="1"/>
  <c r="K91" i="19"/>
  <c r="L88" i="19"/>
  <c r="L100" i="19"/>
  <c r="N71" i="19"/>
  <c r="M50" i="19"/>
  <c r="M84" i="19"/>
  <c r="M85" i="19" s="1"/>
  <c r="M48" i="19"/>
  <c r="N47" i="19"/>
  <c r="M54" i="19"/>
  <c r="M155" i="19"/>
  <c r="M90" i="19"/>
  <c r="M103" i="19" s="1"/>
  <c r="O94" i="19"/>
  <c r="O104" i="19" s="1"/>
  <c r="O131" i="19" s="1"/>
  <c r="M89" i="19"/>
  <c r="L99" i="19"/>
  <c r="K57" i="19"/>
  <c r="K56" i="19"/>
  <c r="N95" i="19"/>
  <c r="N105" i="19" s="1"/>
  <c r="N132" i="19" s="1"/>
  <c r="I185" i="19"/>
  <c r="J201" i="19"/>
  <c r="J204" i="19" s="1"/>
  <c r="I126" i="19"/>
  <c r="I127" i="19" s="1"/>
  <c r="H25" i="19"/>
  <c r="Q194" i="19"/>
  <c r="Q195" i="19"/>
  <c r="G26" i="19"/>
  <c r="M252" i="19"/>
  <c r="Q253" i="17"/>
  <c r="H26" i="17"/>
  <c r="H22" i="17"/>
  <c r="G16" i="17"/>
  <c r="H23" i="17"/>
  <c r="H21" i="17"/>
  <c r="H24" i="17"/>
  <c r="H20" i="17"/>
  <c r="K108" i="17"/>
  <c r="J202" i="17"/>
  <c r="J204" i="17"/>
  <c r="N89" i="17"/>
  <c r="L98" i="17"/>
  <c r="L101" i="17" s="1"/>
  <c r="L108" i="17" s="1"/>
  <c r="M95" i="17"/>
  <c r="M105" i="17" s="1"/>
  <c r="M106" i="17" s="1"/>
  <c r="L151" i="17"/>
  <c r="L55" i="17"/>
  <c r="L100" i="17"/>
  <c r="M93" i="17"/>
  <c r="I185" i="17"/>
  <c r="K109" i="17"/>
  <c r="K153" i="17" s="1"/>
  <c r="J109" i="17"/>
  <c r="J153" i="17" s="1"/>
  <c r="O195" i="17"/>
  <c r="N71" i="17"/>
  <c r="M50" i="17"/>
  <c r="N90" i="17"/>
  <c r="N103" i="17" s="1"/>
  <c r="M91" i="17"/>
  <c r="N88" i="17"/>
  <c r="O197" i="17"/>
  <c r="M155" i="17"/>
  <c r="N73" i="17"/>
  <c r="I126" i="17"/>
  <c r="I127" i="17" s="1"/>
  <c r="H25" i="17"/>
  <c r="K60" i="17"/>
  <c r="K62" i="17" s="1"/>
  <c r="K63" i="17" s="1"/>
  <c r="K57" i="17"/>
  <c r="K56" i="17"/>
  <c r="O196" i="17"/>
  <c r="L52" i="17"/>
  <c r="L51" i="17"/>
  <c r="N94" i="17"/>
  <c r="N104" i="17" s="1"/>
  <c r="M84" i="17"/>
  <c r="M85" i="17" s="1"/>
  <c r="M99" i="17" s="1"/>
  <c r="M54" i="17"/>
  <c r="N47" i="17"/>
  <c r="M48" i="17"/>
  <c r="J154" i="17"/>
  <c r="J156" i="17" s="1"/>
  <c r="J159" i="17" s="1"/>
  <c r="J161" i="17" s="1"/>
  <c r="J191" i="17" s="1"/>
  <c r="L52" i="16"/>
  <c r="L51" i="16"/>
  <c r="H16" i="16"/>
  <c r="I139" i="16"/>
  <c r="I140" i="16" s="1"/>
  <c r="I141" i="16" s="1"/>
  <c r="M32" i="16" s="1"/>
  <c r="G17" i="16"/>
  <c r="M84" i="16"/>
  <c r="M85" i="16" s="1"/>
  <c r="M48" i="16"/>
  <c r="N47" i="16"/>
  <c r="M54" i="16"/>
  <c r="M50" i="16"/>
  <c r="M155" i="16"/>
  <c r="M99" i="16"/>
  <c r="N89" i="16"/>
  <c r="J150" i="16"/>
  <c r="J65" i="16"/>
  <c r="J64" i="16"/>
  <c r="J109" i="16"/>
  <c r="J153" i="16" s="1"/>
  <c r="M90" i="16"/>
  <c r="M103" i="16" s="1"/>
  <c r="M106" i="16" s="1"/>
  <c r="K91" i="16"/>
  <c r="L88" i="16"/>
  <c r="K98" i="16"/>
  <c r="K101" i="16" s="1"/>
  <c r="K108" i="16" s="1"/>
  <c r="L151" i="16"/>
  <c r="L55" i="16"/>
  <c r="K57" i="16"/>
  <c r="K56" i="16"/>
  <c r="K60" i="16"/>
  <c r="K62" i="16" s="1"/>
  <c r="K63" i="16" s="1"/>
  <c r="L100" i="16"/>
  <c r="M93" i="16"/>
  <c r="P73" i="16"/>
  <c r="P71" i="16"/>
  <c r="O94" i="16"/>
  <c r="O104" i="16" s="1"/>
  <c r="N95" i="16"/>
  <c r="N105" i="16" s="1"/>
  <c r="K89" i="15"/>
  <c r="J99" i="15"/>
  <c r="J101" i="15" s="1"/>
  <c r="J108" i="15" s="1"/>
  <c r="J91" i="15"/>
  <c r="M95" i="15"/>
  <c r="M105" i="15" s="1"/>
  <c r="M90" i="15"/>
  <c r="M103" i="15" s="1"/>
  <c r="H24" i="15"/>
  <c r="H26" i="15"/>
  <c r="H22" i="15"/>
  <c r="G16" i="15"/>
  <c r="H23" i="15"/>
  <c r="H21" i="15"/>
  <c r="N52" i="15"/>
  <c r="N51" i="15"/>
  <c r="L60" i="15"/>
  <c r="L62" i="15" s="1"/>
  <c r="L63" i="15" s="1"/>
  <c r="L57" i="15"/>
  <c r="L56" i="15"/>
  <c r="H20" i="15"/>
  <c r="P71" i="15"/>
  <c r="K64" i="15"/>
  <c r="K65" i="15"/>
  <c r="I126" i="15"/>
  <c r="I127" i="15" s="1"/>
  <c r="H25" i="15"/>
  <c r="M60" i="15"/>
  <c r="M62" i="15" s="1"/>
  <c r="M63" i="15" s="1"/>
  <c r="M57" i="15"/>
  <c r="M56" i="15"/>
  <c r="M93" i="15"/>
  <c r="L100" i="15"/>
  <c r="L98" i="15"/>
  <c r="M88" i="15"/>
  <c r="M94" i="15"/>
  <c r="M104" i="15" s="1"/>
  <c r="Q28" i="15"/>
  <c r="R28" i="15" s="1"/>
  <c r="R26" i="15"/>
  <c r="N84" i="15"/>
  <c r="N85" i="15" s="1"/>
  <c r="N54" i="15"/>
  <c r="N55" i="15" s="1"/>
  <c r="O47" i="15"/>
  <c r="N48" i="15"/>
  <c r="J91" i="14"/>
  <c r="K88" i="14"/>
  <c r="J98" i="14"/>
  <c r="J101" i="14" s="1"/>
  <c r="J108" i="14" s="1"/>
  <c r="M89" i="14"/>
  <c r="L99" i="14"/>
  <c r="K64" i="14"/>
  <c r="K65" i="14"/>
  <c r="L100" i="14"/>
  <c r="M93" i="14"/>
  <c r="G26" i="14"/>
  <c r="H25" i="14" s="1"/>
  <c r="R26" i="14"/>
  <c r="Q28" i="14"/>
  <c r="R28" i="14" s="1"/>
  <c r="M84" i="14"/>
  <c r="M85" i="14" s="1"/>
  <c r="M48" i="14"/>
  <c r="N47" i="14"/>
  <c r="M54" i="14"/>
  <c r="M55" i="14" s="1"/>
  <c r="L52" i="14"/>
  <c r="L51" i="14"/>
  <c r="M95" i="14"/>
  <c r="M105" i="14" s="1"/>
  <c r="M94" i="14"/>
  <c r="M104" i="14" s="1"/>
  <c r="M90" i="14"/>
  <c r="M103" i="14" s="1"/>
  <c r="M106" i="14" s="1"/>
  <c r="L57" i="14"/>
  <c r="L56" i="14"/>
  <c r="L60" i="14"/>
  <c r="L62" i="14" s="1"/>
  <c r="L63" i="14" s="1"/>
  <c r="N71" i="14"/>
  <c r="M50" i="14"/>
  <c r="L57" i="13"/>
  <c r="L56" i="13"/>
  <c r="L60" i="13"/>
  <c r="L62" i="13" s="1"/>
  <c r="L63" i="13" s="1"/>
  <c r="H26" i="13"/>
  <c r="H22" i="13"/>
  <c r="G16" i="13"/>
  <c r="H23" i="13"/>
  <c r="H21" i="13"/>
  <c r="H24" i="13"/>
  <c r="H25" i="13"/>
  <c r="M54" i="13"/>
  <c r="M55" i="13" s="1"/>
  <c r="M48" i="13"/>
  <c r="N47" i="13"/>
  <c r="N83" i="13" s="1"/>
  <c r="N84" i="13" s="1"/>
  <c r="N102" i="13" s="1"/>
  <c r="M50" i="13"/>
  <c r="P71" i="13"/>
  <c r="L52" i="13"/>
  <c r="L51" i="13"/>
  <c r="K65" i="13"/>
  <c r="K64" i="13"/>
  <c r="N48" i="12"/>
  <c r="O47" i="12"/>
  <c r="N51" i="12"/>
  <c r="G26" i="12"/>
  <c r="Q28" i="12"/>
  <c r="R28" i="12" s="1"/>
  <c r="R26" i="12"/>
  <c r="Q28" i="11"/>
  <c r="R28" i="11" s="1"/>
  <c r="R26" i="11"/>
  <c r="O73" i="8"/>
  <c r="N196" i="8"/>
  <c r="H25" i="8"/>
  <c r="H23" i="8"/>
  <c r="H21" i="8"/>
  <c r="H26" i="8"/>
  <c r="H22" i="8"/>
  <c r="H24" i="8"/>
  <c r="P70" i="8"/>
  <c r="E316" i="8"/>
  <c r="P194" i="8"/>
  <c r="E324" i="8"/>
  <c r="L51" i="8"/>
  <c r="L52" i="8"/>
  <c r="K56" i="8"/>
  <c r="K57" i="8"/>
  <c r="M48" i="8"/>
  <c r="K124" i="7"/>
  <c r="J324" i="7"/>
  <c r="J323" i="7"/>
  <c r="J322" i="7"/>
  <c r="J321" i="7"/>
  <c r="J320" i="7"/>
  <c r="J319" i="7"/>
  <c r="J318" i="7"/>
  <c r="J317" i="7"/>
  <c r="J316" i="7"/>
  <c r="L286" i="7"/>
  <c r="K324" i="7"/>
  <c r="K323" i="7"/>
  <c r="K322" i="7"/>
  <c r="K321" i="7"/>
  <c r="K320" i="7"/>
  <c r="K319" i="7"/>
  <c r="K318" i="7"/>
  <c r="K317" i="7"/>
  <c r="K316" i="7"/>
  <c r="L284" i="7"/>
  <c r="L306" i="7"/>
  <c r="L131" i="7"/>
  <c r="L255" i="7"/>
  <c r="M255" i="7" s="1"/>
  <c r="N255" i="7" s="1"/>
  <c r="K256" i="7"/>
  <c r="L253" i="7"/>
  <c r="M253" i="7" s="1"/>
  <c r="J256" i="7"/>
  <c r="K130" i="7"/>
  <c r="K133" i="7" s="1"/>
  <c r="J204" i="7"/>
  <c r="J163" i="7" s="1"/>
  <c r="N197" i="7"/>
  <c r="L51" i="7"/>
  <c r="L52" i="7"/>
  <c r="O195" i="7"/>
  <c r="N95" i="7"/>
  <c r="M90" i="7"/>
  <c r="L55" i="7"/>
  <c r="N94" i="7"/>
  <c r="J56" i="7"/>
  <c r="J57" i="7"/>
  <c r="L122" i="7"/>
  <c r="O196" i="7"/>
  <c r="Q70" i="7"/>
  <c r="N93" i="7"/>
  <c r="K56" i="7"/>
  <c r="K57" i="7"/>
  <c r="N47" i="7"/>
  <c r="M85" i="7"/>
  <c r="M121" i="7" s="1"/>
  <c r="M54" i="7"/>
  <c r="M50" i="7"/>
  <c r="M48" i="7"/>
  <c r="N73" i="7"/>
  <c r="K88" i="7"/>
  <c r="J91" i="7"/>
  <c r="J98" i="7"/>
  <c r="G16" i="7"/>
  <c r="H342" i="7" s="1"/>
  <c r="H21" i="7"/>
  <c r="H20" i="7"/>
  <c r="H24" i="7"/>
  <c r="I123" i="7" s="1"/>
  <c r="I127" i="7" s="1"/>
  <c r="H26" i="7"/>
  <c r="H22" i="7"/>
  <c r="H23" i="7"/>
  <c r="P89" i="7"/>
  <c r="J108" i="13" l="1"/>
  <c r="L87" i="13"/>
  <c r="K97" i="13"/>
  <c r="K100" i="13" s="1"/>
  <c r="K107" i="13" s="1"/>
  <c r="K108" i="13" s="1"/>
  <c r="K90" i="13"/>
  <c r="O92" i="13"/>
  <c r="N99" i="13"/>
  <c r="O88" i="13"/>
  <c r="N98" i="13"/>
  <c r="N60" i="12"/>
  <c r="N62" i="12" s="1"/>
  <c r="N63" i="12" s="1"/>
  <c r="N57" i="12"/>
  <c r="O54" i="12"/>
  <c r="O50" i="12"/>
  <c r="O52" i="12" s="1"/>
  <c r="M65" i="12"/>
  <c r="M64" i="12"/>
  <c r="N52" i="12"/>
  <c r="L65" i="12"/>
  <c r="L64" i="12"/>
  <c r="P254" i="22"/>
  <c r="Q254" i="22" s="1"/>
  <c r="J267" i="22"/>
  <c r="J260" i="22"/>
  <c r="J163" i="22"/>
  <c r="K98" i="22"/>
  <c r="L88" i="22"/>
  <c r="K91" i="22"/>
  <c r="P195" i="22"/>
  <c r="Q194" i="22"/>
  <c r="G16" i="22"/>
  <c r="H23" i="22"/>
  <c r="H26" i="22"/>
  <c r="H22" i="22"/>
  <c r="H21" i="22"/>
  <c r="H24" i="22"/>
  <c r="H20" i="22"/>
  <c r="N99" i="22"/>
  <c r="N121" i="22" s="1"/>
  <c r="O89" i="22"/>
  <c r="N104" i="22"/>
  <c r="N131" i="22" s="1"/>
  <c r="P197" i="22"/>
  <c r="O255" i="22"/>
  <c r="P255" i="22" s="1"/>
  <c r="Q255" i="22" s="1"/>
  <c r="N155" i="22"/>
  <c r="N286" i="22" s="1"/>
  <c r="O73" i="22"/>
  <c r="M284" i="22"/>
  <c r="M51" i="22"/>
  <c r="M52" i="22"/>
  <c r="O84" i="22"/>
  <c r="O85" i="22" s="1"/>
  <c r="O48" i="22"/>
  <c r="P47" i="22"/>
  <c r="O54" i="22"/>
  <c r="H25" i="22"/>
  <c r="P94" i="22"/>
  <c r="Q252" i="22"/>
  <c r="O95" i="22"/>
  <c r="N105" i="22"/>
  <c r="N132" i="22" s="1"/>
  <c r="L130" i="22"/>
  <c r="L133" i="22" s="1"/>
  <c r="L106" i="22"/>
  <c r="N100" i="22"/>
  <c r="N122" i="22" s="1"/>
  <c r="O93" i="22"/>
  <c r="P252" i="22"/>
  <c r="K253" i="22"/>
  <c r="N151" i="22"/>
  <c r="J120" i="22"/>
  <c r="J101" i="22"/>
  <c r="J108" i="22" s="1"/>
  <c r="J126" i="22"/>
  <c r="I127" i="22"/>
  <c r="M124" i="22"/>
  <c r="O71" i="22"/>
  <c r="N50" i="22"/>
  <c r="M103" i="22"/>
  <c r="N90" i="22"/>
  <c r="M55" i="22"/>
  <c r="M106" i="19"/>
  <c r="M130" i="19"/>
  <c r="M133" i="19" s="1"/>
  <c r="M106" i="15"/>
  <c r="J109" i="15"/>
  <c r="J153" i="15" s="1"/>
  <c r="J154" i="15" s="1"/>
  <c r="J156" i="15" s="1"/>
  <c r="J159" i="15" s="1"/>
  <c r="J161" i="15" s="1"/>
  <c r="J167" i="15" s="1"/>
  <c r="J109" i="14"/>
  <c r="O94" i="13"/>
  <c r="N104" i="13"/>
  <c r="M105" i="13"/>
  <c r="O93" i="13"/>
  <c r="N103" i="13"/>
  <c r="L133" i="20"/>
  <c r="J163" i="20"/>
  <c r="M130" i="20"/>
  <c r="N89" i="20"/>
  <c r="M121" i="20"/>
  <c r="P195" i="20"/>
  <c r="L91" i="20"/>
  <c r="M88" i="20"/>
  <c r="N155" i="20"/>
  <c r="O73" i="20"/>
  <c r="K267" i="20"/>
  <c r="K260" i="20"/>
  <c r="N94" i="20"/>
  <c r="M131" i="20"/>
  <c r="O90" i="20"/>
  <c r="P196" i="20"/>
  <c r="M56" i="20"/>
  <c r="M57" i="20"/>
  <c r="O48" i="20"/>
  <c r="P47" i="20"/>
  <c r="O54" i="20"/>
  <c r="O84" i="20"/>
  <c r="O85" i="20" s="1"/>
  <c r="O71" i="20"/>
  <c r="N50" i="20"/>
  <c r="J109" i="20"/>
  <c r="J153" i="20" s="1"/>
  <c r="N122" i="20"/>
  <c r="O93" i="20"/>
  <c r="J126" i="20"/>
  <c r="K126" i="20" s="1"/>
  <c r="I127" i="20"/>
  <c r="P197" i="20"/>
  <c r="N252" i="20"/>
  <c r="K120" i="20"/>
  <c r="K101" i="20"/>
  <c r="K108" i="20" s="1"/>
  <c r="K109" i="20" s="1"/>
  <c r="K153" i="20" s="1"/>
  <c r="G17" i="20"/>
  <c r="H16" i="20" s="1"/>
  <c r="I139" i="20"/>
  <c r="M254" i="20"/>
  <c r="L253" i="20"/>
  <c r="J267" i="20"/>
  <c r="J260" i="20"/>
  <c r="L255" i="20"/>
  <c r="Q194" i="20"/>
  <c r="N151" i="20"/>
  <c r="N124" i="20" s="1"/>
  <c r="N55" i="20"/>
  <c r="M52" i="20"/>
  <c r="M51" i="20"/>
  <c r="M255" i="20"/>
  <c r="N255" i="20" s="1"/>
  <c r="N132" i="20"/>
  <c r="O95" i="20"/>
  <c r="N254" i="20"/>
  <c r="O254" i="20" s="1"/>
  <c r="P254" i="20" s="1"/>
  <c r="J163" i="19"/>
  <c r="N89" i="19"/>
  <c r="M99" i="19"/>
  <c r="M100" i="19"/>
  <c r="K109" i="19"/>
  <c r="K153" i="19" s="1"/>
  <c r="N252" i="19"/>
  <c r="O252" i="19" s="1"/>
  <c r="P94" i="19"/>
  <c r="P104" i="19" s="1"/>
  <c r="P131" i="19" s="1"/>
  <c r="L56" i="19"/>
  <c r="L57" i="19"/>
  <c r="K253" i="19"/>
  <c r="O95" i="19"/>
  <c r="O105" i="19" s="1"/>
  <c r="O132" i="19" s="1"/>
  <c r="M151" i="19"/>
  <c r="M55" i="19"/>
  <c r="M51" i="19"/>
  <c r="M52" i="19"/>
  <c r="L98" i="19"/>
  <c r="L101" i="19" s="1"/>
  <c r="L108" i="19" s="1"/>
  <c r="L91" i="19"/>
  <c r="M88" i="19"/>
  <c r="H23" i="19"/>
  <c r="H21" i="19"/>
  <c r="H22" i="19"/>
  <c r="G16" i="19"/>
  <c r="H24" i="19"/>
  <c r="H26" i="19"/>
  <c r="H20" i="19"/>
  <c r="N90" i="19"/>
  <c r="N103" i="19" s="1"/>
  <c r="N48" i="19"/>
  <c r="O47" i="19"/>
  <c r="N84" i="19"/>
  <c r="N85" i="19" s="1"/>
  <c r="N54" i="19"/>
  <c r="N155" i="19"/>
  <c r="N50" i="19"/>
  <c r="O71" i="19"/>
  <c r="Q73" i="19"/>
  <c r="N100" i="19"/>
  <c r="O93" i="19"/>
  <c r="J267" i="19"/>
  <c r="J260" i="19"/>
  <c r="O254" i="19"/>
  <c r="P254" i="19" s="1"/>
  <c r="Q254" i="19" s="1"/>
  <c r="P197" i="17"/>
  <c r="O90" i="17"/>
  <c r="O103" i="17" s="1"/>
  <c r="J163" i="17"/>
  <c r="J206" i="17"/>
  <c r="G17" i="17"/>
  <c r="I139" i="17"/>
  <c r="I140" i="17" s="1"/>
  <c r="I141" i="17" s="1"/>
  <c r="M32" i="17" s="1"/>
  <c r="O94" i="17"/>
  <c r="O104" i="17" s="1"/>
  <c r="N155" i="17"/>
  <c r="O73" i="17"/>
  <c r="N91" i="17"/>
  <c r="O88" i="17"/>
  <c r="P195" i="17"/>
  <c r="O89" i="17"/>
  <c r="N99" i="17"/>
  <c r="N84" i="17"/>
  <c r="N85" i="17" s="1"/>
  <c r="N48" i="17"/>
  <c r="O47" i="17"/>
  <c r="N54" i="17"/>
  <c r="K150" i="17"/>
  <c r="K154" i="17" s="1"/>
  <c r="K156" i="17" s="1"/>
  <c r="K159" i="17" s="1"/>
  <c r="K65" i="17"/>
  <c r="K64" i="17"/>
  <c r="M52" i="17"/>
  <c r="M51" i="17"/>
  <c r="N93" i="17"/>
  <c r="M100" i="17"/>
  <c r="N95" i="17"/>
  <c r="N105" i="17" s="1"/>
  <c r="N106" i="17" s="1"/>
  <c r="L109" i="17"/>
  <c r="L153" i="17" s="1"/>
  <c r="L57" i="17"/>
  <c r="L56" i="17"/>
  <c r="L60" i="17"/>
  <c r="L62" i="17" s="1"/>
  <c r="L63" i="17" s="1"/>
  <c r="M151" i="17"/>
  <c r="M55" i="17"/>
  <c r="P196" i="17"/>
  <c r="M98" i="17"/>
  <c r="M101" i="17" s="1"/>
  <c r="M108" i="17" s="1"/>
  <c r="M109" i="17" s="1"/>
  <c r="M153" i="17" s="1"/>
  <c r="O71" i="17"/>
  <c r="N50" i="17"/>
  <c r="P94" i="16"/>
  <c r="P104" i="16" s="1"/>
  <c r="Q73" i="16"/>
  <c r="K65" i="16"/>
  <c r="K64" i="16"/>
  <c r="K150" i="16"/>
  <c r="N90" i="16"/>
  <c r="N103" i="16" s="1"/>
  <c r="N106" i="16" s="1"/>
  <c r="N48" i="16"/>
  <c r="O47" i="16"/>
  <c r="N84" i="16"/>
  <c r="N85" i="16" s="1"/>
  <c r="N99" i="16" s="1"/>
  <c r="N54" i="16"/>
  <c r="N50" i="16"/>
  <c r="N155" i="16"/>
  <c r="O95" i="16"/>
  <c r="O105" i="16" s="1"/>
  <c r="Q71" i="16"/>
  <c r="M100" i="16"/>
  <c r="N93" i="16"/>
  <c r="L98" i="16"/>
  <c r="L101" i="16" s="1"/>
  <c r="L108" i="16" s="1"/>
  <c r="L109" i="16" s="1"/>
  <c r="L153" i="16" s="1"/>
  <c r="L91" i="16"/>
  <c r="M88" i="16"/>
  <c r="J154" i="16"/>
  <c r="J156" i="16" s="1"/>
  <c r="J159" i="16" s="1"/>
  <c r="J161" i="16" s="1"/>
  <c r="M51" i="16"/>
  <c r="M52" i="16"/>
  <c r="L56" i="16"/>
  <c r="L60" i="16"/>
  <c r="L62" i="16" s="1"/>
  <c r="L63" i="16" s="1"/>
  <c r="L57" i="16"/>
  <c r="K109" i="16"/>
  <c r="K153" i="16" s="1"/>
  <c r="O89" i="16"/>
  <c r="M55" i="16"/>
  <c r="M151" i="16"/>
  <c r="H17" i="16"/>
  <c r="H10" i="16"/>
  <c r="H11" i="16"/>
  <c r="H12" i="16"/>
  <c r="H13" i="16"/>
  <c r="H14" i="16"/>
  <c r="H15" i="16"/>
  <c r="G27" i="16"/>
  <c r="M33" i="16" s="1"/>
  <c r="I139" i="15"/>
  <c r="I140" i="15" s="1"/>
  <c r="I141" i="15" s="1"/>
  <c r="M32" i="15" s="1"/>
  <c r="G17" i="15"/>
  <c r="N95" i="15"/>
  <c r="N105" i="15" s="1"/>
  <c r="N57" i="15"/>
  <c r="N56" i="15"/>
  <c r="N60" i="15"/>
  <c r="N62" i="15" s="1"/>
  <c r="N63" i="15" s="1"/>
  <c r="N94" i="15"/>
  <c r="N104" i="15" s="1"/>
  <c r="L65" i="15"/>
  <c r="L64" i="15"/>
  <c r="N90" i="15"/>
  <c r="N103" i="15" s="1"/>
  <c r="N106" i="15" s="1"/>
  <c r="O84" i="15"/>
  <c r="O85" i="15" s="1"/>
  <c r="O54" i="15"/>
  <c r="O48" i="15"/>
  <c r="P47" i="15"/>
  <c r="Q71" i="15"/>
  <c r="P50" i="15"/>
  <c r="M64" i="15"/>
  <c r="M65" i="15"/>
  <c r="M98" i="15"/>
  <c r="N88" i="15"/>
  <c r="M100" i="15"/>
  <c r="N93" i="15"/>
  <c r="O50" i="15"/>
  <c r="K99" i="15"/>
  <c r="K101" i="15" s="1"/>
  <c r="K108" i="15" s="1"/>
  <c r="L89" i="15"/>
  <c r="K91" i="15"/>
  <c r="M51" i="14"/>
  <c r="M52" i="14"/>
  <c r="N94" i="14"/>
  <c r="N104" i="14" s="1"/>
  <c r="O71" i="14"/>
  <c r="N50" i="14"/>
  <c r="N90" i="14"/>
  <c r="N103" i="14" s="1"/>
  <c r="N106" i="14" s="1"/>
  <c r="N95" i="14"/>
  <c r="N105" i="14" s="1"/>
  <c r="M60" i="14"/>
  <c r="M62" i="14" s="1"/>
  <c r="M63" i="14" s="1"/>
  <c r="M56" i="14"/>
  <c r="M57" i="14"/>
  <c r="M100" i="14"/>
  <c r="N93" i="14"/>
  <c r="K98" i="14"/>
  <c r="K101" i="14" s="1"/>
  <c r="K108" i="14" s="1"/>
  <c r="K91" i="14"/>
  <c r="L88" i="14"/>
  <c r="H23" i="14"/>
  <c r="H21" i="14"/>
  <c r="H22" i="14"/>
  <c r="G16" i="14"/>
  <c r="H26" i="14"/>
  <c r="H20" i="14"/>
  <c r="H24" i="14"/>
  <c r="L65" i="14"/>
  <c r="L64" i="14"/>
  <c r="N84" i="14"/>
  <c r="N85" i="14" s="1"/>
  <c r="N48" i="14"/>
  <c r="O47" i="14"/>
  <c r="N54" i="14"/>
  <c r="N55" i="14" s="1"/>
  <c r="M99" i="14"/>
  <c r="N89" i="14"/>
  <c r="M56" i="13"/>
  <c r="M60" i="13"/>
  <c r="M62" i="13" s="1"/>
  <c r="M63" i="13" s="1"/>
  <c r="M57" i="13"/>
  <c r="L65" i="13"/>
  <c r="L64" i="13"/>
  <c r="N54" i="13"/>
  <c r="O47" i="13"/>
  <c r="O83" i="13" s="1"/>
  <c r="O84" i="13" s="1"/>
  <c r="O102" i="13" s="1"/>
  <c r="N48" i="13"/>
  <c r="N50" i="13"/>
  <c r="M52" i="13"/>
  <c r="M51" i="13"/>
  <c r="G17" i="13"/>
  <c r="H16" i="13" s="1"/>
  <c r="Q71" i="13"/>
  <c r="P47" i="12"/>
  <c r="O51" i="12"/>
  <c r="O48" i="12"/>
  <c r="H26" i="12"/>
  <c r="H22" i="12"/>
  <c r="G16" i="12"/>
  <c r="H23" i="12"/>
  <c r="H21" i="12"/>
  <c r="H24" i="12"/>
  <c r="H20" i="12"/>
  <c r="H25" i="12"/>
  <c r="M52" i="8"/>
  <c r="M51" i="8"/>
  <c r="P73" i="8"/>
  <c r="Q70" i="8"/>
  <c r="G17" i="8"/>
  <c r="H16" i="8" s="1"/>
  <c r="Q194" i="8"/>
  <c r="N48" i="8"/>
  <c r="L57" i="8"/>
  <c r="L56" i="8"/>
  <c r="E358" i="8" a="1"/>
  <c r="E330" i="8" a="1"/>
  <c r="E344" i="8" a="1"/>
  <c r="O196" i="8"/>
  <c r="L124" i="7"/>
  <c r="M286" i="7"/>
  <c r="M306" i="7"/>
  <c r="M284" i="7"/>
  <c r="L324" i="7"/>
  <c r="L323" i="7"/>
  <c r="L322" i="7"/>
  <c r="L321" i="7"/>
  <c r="L320" i="7"/>
  <c r="L319" i="7"/>
  <c r="L318" i="7"/>
  <c r="L317" i="7"/>
  <c r="L316" i="7"/>
  <c r="L256" i="7"/>
  <c r="L260" i="7" s="1"/>
  <c r="M256" i="7"/>
  <c r="M267" i="7" s="1"/>
  <c r="M268" i="7" s="1"/>
  <c r="O255" i="7"/>
  <c r="P255" i="7" s="1"/>
  <c r="L267" i="7"/>
  <c r="N253" i="7"/>
  <c r="O253" i="7" s="1"/>
  <c r="O256" i="7" s="1"/>
  <c r="O260" i="7" s="1"/>
  <c r="J267" i="7"/>
  <c r="J260" i="7"/>
  <c r="J126" i="7" s="1"/>
  <c r="K260" i="7"/>
  <c r="K267" i="7"/>
  <c r="L130" i="7"/>
  <c r="L133" i="7" s="1"/>
  <c r="M122" i="7"/>
  <c r="O47" i="7"/>
  <c r="N85" i="7"/>
  <c r="N121" i="7" s="1"/>
  <c r="N54" i="7"/>
  <c r="N50" i="7"/>
  <c r="N48" i="7"/>
  <c r="O94" i="7"/>
  <c r="N131" i="7"/>
  <c r="N90" i="7"/>
  <c r="M130" i="7"/>
  <c r="J120" i="7"/>
  <c r="J101" i="7"/>
  <c r="J108" i="7" s="1"/>
  <c r="M52" i="7"/>
  <c r="M51" i="7"/>
  <c r="O93" i="7"/>
  <c r="P196" i="7"/>
  <c r="L57" i="7"/>
  <c r="M132" i="7"/>
  <c r="P195" i="7"/>
  <c r="O73" i="7"/>
  <c r="M55" i="7"/>
  <c r="O95" i="7"/>
  <c r="O197" i="7"/>
  <c r="I139" i="7"/>
  <c r="I140" i="7" s="1"/>
  <c r="I141" i="7" s="1"/>
  <c r="G17" i="7"/>
  <c r="G27" i="7" s="1"/>
  <c r="M33" i="7" s="1"/>
  <c r="K91" i="7"/>
  <c r="L88" i="7"/>
  <c r="M131" i="7"/>
  <c r="Q89" i="7"/>
  <c r="J109" i="7" l="1"/>
  <c r="J153" i="7" s="1"/>
  <c r="K109" i="7"/>
  <c r="M87" i="13"/>
  <c r="L97" i="13"/>
  <c r="L100" i="13" s="1"/>
  <c r="L107" i="13" s="1"/>
  <c r="L90" i="13"/>
  <c r="N105" i="13"/>
  <c r="P92" i="13"/>
  <c r="O99" i="13"/>
  <c r="P88" i="13"/>
  <c r="O98" i="13"/>
  <c r="O55" i="12"/>
  <c r="P54" i="12"/>
  <c r="P55" i="12" s="1"/>
  <c r="P50" i="12"/>
  <c r="P52" i="12" s="1"/>
  <c r="N65" i="12"/>
  <c r="N64" i="12"/>
  <c r="P71" i="22"/>
  <c r="O50" i="22"/>
  <c r="N103" i="22"/>
  <c r="O90" i="22"/>
  <c r="N124" i="22"/>
  <c r="K256" i="22"/>
  <c r="O105" i="22"/>
  <c r="O132" i="22" s="1"/>
  <c r="P95" i="22"/>
  <c r="O104" i="22"/>
  <c r="O131" i="22" s="1"/>
  <c r="O151" i="22"/>
  <c r="O55" i="22"/>
  <c r="M57" i="22"/>
  <c r="M56" i="22"/>
  <c r="M130" i="22"/>
  <c r="M133" i="22" s="1"/>
  <c r="M106" i="22"/>
  <c r="L253" i="22"/>
  <c r="L256" i="22" s="1"/>
  <c r="Q94" i="22"/>
  <c r="P54" i="22"/>
  <c r="Q47" i="22"/>
  <c r="P84" i="22"/>
  <c r="P85" i="22" s="1"/>
  <c r="P48" i="22"/>
  <c r="M88" i="22"/>
  <c r="L98" i="22"/>
  <c r="L91" i="22"/>
  <c r="M253" i="22"/>
  <c r="M256" i="22" s="1"/>
  <c r="J109" i="22"/>
  <c r="J153" i="22" s="1"/>
  <c r="O100" i="22"/>
  <c r="O122" i="22" s="1"/>
  <c r="P93" i="22"/>
  <c r="O155" i="22"/>
  <c r="O286" i="22" s="1"/>
  <c r="P73" i="22"/>
  <c r="Q197" i="22"/>
  <c r="N284" i="22"/>
  <c r="N52" i="22"/>
  <c r="N51" i="22"/>
  <c r="K126" i="22"/>
  <c r="N55" i="22"/>
  <c r="P89" i="22"/>
  <c r="O99" i="22"/>
  <c r="O121" i="22" s="1"/>
  <c r="H16" i="22"/>
  <c r="I139" i="22"/>
  <c r="G17" i="22"/>
  <c r="Q195" i="22"/>
  <c r="K120" i="22"/>
  <c r="K101" i="22"/>
  <c r="K108" i="22" s="1"/>
  <c r="N130" i="19"/>
  <c r="N133" i="19" s="1"/>
  <c r="N106" i="19"/>
  <c r="J191" i="16"/>
  <c r="J206" i="16" s="1"/>
  <c r="K158" i="15"/>
  <c r="J170" i="15"/>
  <c r="J171" i="15" s="1"/>
  <c r="K109" i="15"/>
  <c r="K153" i="15" s="1"/>
  <c r="K154" i="15" s="1"/>
  <c r="K156" i="15" s="1"/>
  <c r="K159" i="15" s="1"/>
  <c r="L109" i="14"/>
  <c r="K109" i="14"/>
  <c r="P93" i="13"/>
  <c r="O103" i="13"/>
  <c r="P94" i="13"/>
  <c r="O104" i="13"/>
  <c r="M133" i="20"/>
  <c r="Q254" i="20"/>
  <c r="M91" i="20"/>
  <c r="N88" i="20"/>
  <c r="L256" i="20"/>
  <c r="N51" i="20"/>
  <c r="N52" i="20"/>
  <c r="P48" i="20"/>
  <c r="Q47" i="20"/>
  <c r="P54" i="20"/>
  <c r="P84" i="20"/>
  <c r="P85" i="20" s="1"/>
  <c r="M106" i="20"/>
  <c r="O151" i="20"/>
  <c r="N130" i="20"/>
  <c r="Q195" i="20"/>
  <c r="O255" i="20"/>
  <c r="P255" i="20" s="1"/>
  <c r="Q255" i="20" s="1"/>
  <c r="P93" i="20"/>
  <c r="O122" i="20"/>
  <c r="O50" i="20"/>
  <c r="P71" i="20"/>
  <c r="Q196" i="20"/>
  <c r="N131" i="20"/>
  <c r="O94" i="20"/>
  <c r="O155" i="20"/>
  <c r="O124" i="20" s="1"/>
  <c r="P73" i="20"/>
  <c r="L120" i="20"/>
  <c r="L101" i="20"/>
  <c r="L108" i="20" s="1"/>
  <c r="L109" i="20" s="1"/>
  <c r="L153" i="20" s="1"/>
  <c r="N57" i="20"/>
  <c r="N56" i="20"/>
  <c r="H10" i="20"/>
  <c r="H17" i="20"/>
  <c r="H11" i="20"/>
  <c r="H13" i="20"/>
  <c r="H14" i="20"/>
  <c r="H15" i="20"/>
  <c r="H12" i="20"/>
  <c r="G27" i="20"/>
  <c r="M33" i="20" s="1"/>
  <c r="O252" i="20"/>
  <c r="O132" i="20"/>
  <c r="P95" i="20"/>
  <c r="I140" i="20"/>
  <c r="I141" i="20" s="1"/>
  <c r="Q197" i="20"/>
  <c r="P90" i="20"/>
  <c r="M253" i="20"/>
  <c r="N253" i="20" s="1"/>
  <c r="N256" i="20" s="1"/>
  <c r="O89" i="20"/>
  <c r="N121" i="20"/>
  <c r="P252" i="19"/>
  <c r="N52" i="19"/>
  <c r="N51" i="19"/>
  <c r="O48" i="19"/>
  <c r="P47" i="19"/>
  <c r="O54" i="19"/>
  <c r="O84" i="19"/>
  <c r="O85" i="19" s="1"/>
  <c r="O155" i="19"/>
  <c r="H16" i="19"/>
  <c r="I139" i="19"/>
  <c r="I140" i="19" s="1"/>
  <c r="I141" i="19" s="1"/>
  <c r="G17" i="19"/>
  <c r="N88" i="19"/>
  <c r="M91" i="19"/>
  <c r="M98" i="19"/>
  <c r="M101" i="19" s="1"/>
  <c r="M108" i="19" s="1"/>
  <c r="K256" i="19"/>
  <c r="L253" i="19"/>
  <c r="N99" i="19"/>
  <c r="O89" i="19"/>
  <c r="M57" i="19"/>
  <c r="M56" i="19"/>
  <c r="N151" i="19"/>
  <c r="N55" i="19"/>
  <c r="O90" i="19"/>
  <c r="O103" i="19" s="1"/>
  <c r="Q94" i="19"/>
  <c r="Q104" i="19" s="1"/>
  <c r="Q131" i="19" s="1"/>
  <c r="L109" i="19"/>
  <c r="L153" i="19" s="1"/>
  <c r="P93" i="19"/>
  <c r="O100" i="19"/>
  <c r="O50" i="19"/>
  <c r="P71" i="19"/>
  <c r="P95" i="19"/>
  <c r="P105" i="19" s="1"/>
  <c r="P132" i="19" s="1"/>
  <c r="M253" i="19"/>
  <c r="M256" i="19" s="1"/>
  <c r="L150" i="17"/>
  <c r="L154" i="17" s="1"/>
  <c r="L156" i="17" s="1"/>
  <c r="L159" i="17" s="1"/>
  <c r="L65" i="17"/>
  <c r="L64" i="17"/>
  <c r="Q195" i="17"/>
  <c r="N98" i="17"/>
  <c r="P94" i="17"/>
  <c r="P104" i="17" s="1"/>
  <c r="J210" i="17"/>
  <c r="J182" i="17" s="1"/>
  <c r="Q196" i="17"/>
  <c r="O95" i="17"/>
  <c r="O105" i="17" s="1"/>
  <c r="O106" i="17" s="1"/>
  <c r="N151" i="17"/>
  <c r="N55" i="17"/>
  <c r="P73" i="17"/>
  <c r="O155" i="17"/>
  <c r="N51" i="17"/>
  <c r="N52" i="17"/>
  <c r="P71" i="17"/>
  <c r="O50" i="17"/>
  <c r="M56" i="17"/>
  <c r="M60" i="17"/>
  <c r="M62" i="17" s="1"/>
  <c r="M63" i="17" s="1"/>
  <c r="M57" i="17"/>
  <c r="O84" i="17"/>
  <c r="O85" i="17" s="1"/>
  <c r="O99" i="17" s="1"/>
  <c r="O48" i="17"/>
  <c r="P47" i="17"/>
  <c r="O54" i="17"/>
  <c r="P89" i="17"/>
  <c r="P88" i="17"/>
  <c r="O91" i="17"/>
  <c r="O98" i="17"/>
  <c r="H17" i="17"/>
  <c r="H11" i="17"/>
  <c r="H10" i="17"/>
  <c r="H14" i="17"/>
  <c r="H12" i="17"/>
  <c r="H13" i="17"/>
  <c r="H15" i="17"/>
  <c r="G27" i="17"/>
  <c r="M33" i="17" s="1"/>
  <c r="Q197" i="17"/>
  <c r="O93" i="17"/>
  <c r="N100" i="17"/>
  <c r="H16" i="17"/>
  <c r="P90" i="17"/>
  <c r="P103" i="17" s="1"/>
  <c r="M98" i="16"/>
  <c r="M101" i="16" s="1"/>
  <c r="M108" i="16" s="1"/>
  <c r="N88" i="16"/>
  <c r="M91" i="16"/>
  <c r="M60" i="16"/>
  <c r="M62" i="16" s="1"/>
  <c r="M63" i="16" s="1"/>
  <c r="M57" i="16"/>
  <c r="M56" i="16"/>
  <c r="O48" i="16"/>
  <c r="P47" i="16"/>
  <c r="O54" i="16"/>
  <c r="O84" i="16"/>
  <c r="O85" i="16" s="1"/>
  <c r="O99" i="16" s="1"/>
  <c r="O50" i="16"/>
  <c r="O155" i="16"/>
  <c r="P89" i="16"/>
  <c r="L150" i="16"/>
  <c r="L154" i="16" s="1"/>
  <c r="L156" i="16" s="1"/>
  <c r="L159" i="16" s="1"/>
  <c r="L64" i="16"/>
  <c r="L65" i="16"/>
  <c r="M109" i="16"/>
  <c r="M153" i="16" s="1"/>
  <c r="N52" i="16"/>
  <c r="N51" i="16"/>
  <c r="P95" i="16"/>
  <c r="P105" i="16" s="1"/>
  <c r="K154" i="16"/>
  <c r="K156" i="16" s="1"/>
  <c r="K159" i="16" s="1"/>
  <c r="N100" i="16"/>
  <c r="O93" i="16"/>
  <c r="N151" i="16"/>
  <c r="N55" i="16"/>
  <c r="O90" i="16"/>
  <c r="O103" i="16" s="1"/>
  <c r="O106" i="16" s="1"/>
  <c r="Q94" i="16"/>
  <c r="Q104" i="16" s="1"/>
  <c r="O51" i="15"/>
  <c r="O52" i="15"/>
  <c r="L99" i="15"/>
  <c r="L101" i="15" s="1"/>
  <c r="L108" i="15" s="1"/>
  <c r="M89" i="15"/>
  <c r="L91" i="15"/>
  <c r="N65" i="15"/>
  <c r="N64" i="15"/>
  <c r="O95" i="15"/>
  <c r="O105" i="15" s="1"/>
  <c r="O88" i="15"/>
  <c r="N98" i="15"/>
  <c r="P84" i="15"/>
  <c r="P85" i="15" s="1"/>
  <c r="P48" i="15"/>
  <c r="Q47" i="15"/>
  <c r="P54" i="15"/>
  <c r="P55" i="15" s="1"/>
  <c r="O90" i="15"/>
  <c r="O103" i="15" s="1"/>
  <c r="O106" i="15" s="1"/>
  <c r="H10" i="15"/>
  <c r="H17" i="15"/>
  <c r="H11" i="15"/>
  <c r="H14" i="15"/>
  <c r="H13" i="15"/>
  <c r="H15" i="15"/>
  <c r="H12" i="15"/>
  <c r="G27" i="15"/>
  <c r="M33" i="15" s="1"/>
  <c r="N100" i="15"/>
  <c r="O93" i="15"/>
  <c r="P51" i="15"/>
  <c r="P52" i="15"/>
  <c r="O55" i="15"/>
  <c r="O94" i="15"/>
  <c r="O104" i="15" s="1"/>
  <c r="H16" i="15"/>
  <c r="O90" i="14"/>
  <c r="O103" i="14" s="1"/>
  <c r="O94" i="14"/>
  <c r="O104" i="14" s="1"/>
  <c r="N99" i="14"/>
  <c r="O89" i="14"/>
  <c r="G17" i="14"/>
  <c r="O93" i="14"/>
  <c r="N100" i="14"/>
  <c r="M64" i="14"/>
  <c r="M65" i="14"/>
  <c r="M88" i="14"/>
  <c r="L98" i="14"/>
  <c r="L101" i="14" s="1"/>
  <c r="L108" i="14" s="1"/>
  <c r="L91" i="14"/>
  <c r="O95" i="14"/>
  <c r="O105" i="14" s="1"/>
  <c r="N52" i="14"/>
  <c r="N51" i="14"/>
  <c r="O84" i="14"/>
  <c r="O85" i="14" s="1"/>
  <c r="O48" i="14"/>
  <c r="P47" i="14"/>
  <c r="O54" i="14"/>
  <c r="N57" i="14"/>
  <c r="N56" i="14"/>
  <c r="N60" i="14"/>
  <c r="N62" i="14" s="1"/>
  <c r="N63" i="14" s="1"/>
  <c r="P71" i="14"/>
  <c r="O50" i="14"/>
  <c r="N55" i="13"/>
  <c r="M64" i="13"/>
  <c r="M65" i="13"/>
  <c r="O48" i="13"/>
  <c r="P47" i="13"/>
  <c r="P83" i="13" s="1"/>
  <c r="P84" i="13" s="1"/>
  <c r="P102" i="13" s="1"/>
  <c r="O54" i="13"/>
  <c r="O50" i="13"/>
  <c r="H17" i="13"/>
  <c r="H11" i="13"/>
  <c r="H10" i="13"/>
  <c r="H12" i="13"/>
  <c r="H14" i="13"/>
  <c r="H15" i="13"/>
  <c r="H13" i="13"/>
  <c r="G27" i="13"/>
  <c r="M33" i="13" s="1"/>
  <c r="N51" i="13"/>
  <c r="N52" i="13"/>
  <c r="Q47" i="12"/>
  <c r="P56" i="12"/>
  <c r="P51" i="12"/>
  <c r="P48" i="12"/>
  <c r="G17" i="12"/>
  <c r="E366" i="8"/>
  <c r="E362" i="8"/>
  <c r="E358" i="8"/>
  <c r="E365" i="8"/>
  <c r="E361" i="8"/>
  <c r="E364" i="8"/>
  <c r="E360" i="8"/>
  <c r="E363" i="8"/>
  <c r="E359" i="8"/>
  <c r="N52" i="8"/>
  <c r="N51" i="8"/>
  <c r="H10" i="8"/>
  <c r="H14" i="8"/>
  <c r="H11" i="8"/>
  <c r="H17" i="8"/>
  <c r="H13" i="8"/>
  <c r="H12" i="8"/>
  <c r="H15" i="8"/>
  <c r="G27" i="8"/>
  <c r="M33" i="8" s="1"/>
  <c r="M56" i="8"/>
  <c r="M57" i="8"/>
  <c r="E350" i="8"/>
  <c r="E346" i="8"/>
  <c r="E349" i="8"/>
  <c r="E345" i="8"/>
  <c r="E352" i="8"/>
  <c r="E348" i="8"/>
  <c r="E344" i="8"/>
  <c r="E351" i="8"/>
  <c r="E347" i="8"/>
  <c r="Q73" i="8"/>
  <c r="O48" i="8"/>
  <c r="I141" i="8"/>
  <c r="P196" i="8"/>
  <c r="E335" i="8"/>
  <c r="E331" i="8"/>
  <c r="E338" i="8"/>
  <c r="E334" i="8"/>
  <c r="E330" i="8"/>
  <c r="E337" i="8"/>
  <c r="E333" i="8"/>
  <c r="E332" i="8"/>
  <c r="E336" i="8"/>
  <c r="M260" i="7"/>
  <c r="M124" i="7"/>
  <c r="N124" i="7" s="1"/>
  <c r="M324" i="7"/>
  <c r="M323" i="7"/>
  <c r="M322" i="7"/>
  <c r="M321" i="7"/>
  <c r="M320" i="7"/>
  <c r="M319" i="7"/>
  <c r="M318" i="7"/>
  <c r="M317" i="7"/>
  <c r="M316" i="7"/>
  <c r="N286" i="7"/>
  <c r="N284" i="7"/>
  <c r="N306" i="7"/>
  <c r="Q255" i="7"/>
  <c r="O267" i="7"/>
  <c r="O268" i="7" s="1"/>
  <c r="N256" i="7"/>
  <c r="P253" i="7"/>
  <c r="K126" i="7"/>
  <c r="L126" i="7" s="1"/>
  <c r="M126" i="7" s="1"/>
  <c r="M133" i="7"/>
  <c r="N132" i="7"/>
  <c r="N122" i="7"/>
  <c r="Q195" i="7"/>
  <c r="P93" i="7"/>
  <c r="P94" i="7"/>
  <c r="H15" i="7"/>
  <c r="H13" i="7"/>
  <c r="H14" i="7"/>
  <c r="H17" i="7"/>
  <c r="H10" i="7"/>
  <c r="H11" i="7"/>
  <c r="H12" i="7"/>
  <c r="P197" i="7"/>
  <c r="P73" i="7"/>
  <c r="P47" i="7"/>
  <c r="O85" i="7"/>
  <c r="O121" i="7" s="1"/>
  <c r="O54" i="7"/>
  <c r="O50" i="7"/>
  <c r="O48" i="7"/>
  <c r="L91" i="7"/>
  <c r="M88" i="7"/>
  <c r="H16" i="7"/>
  <c r="Q196" i="7"/>
  <c r="O90" i="7"/>
  <c r="N51" i="7"/>
  <c r="N52" i="7"/>
  <c r="K120" i="7"/>
  <c r="P95" i="7"/>
  <c r="M56" i="7"/>
  <c r="M57" i="7"/>
  <c r="N55" i="7"/>
  <c r="Q88" i="13" l="1"/>
  <c r="P98" i="13"/>
  <c r="Q92" i="13"/>
  <c r="P99" i="13"/>
  <c r="L108" i="13"/>
  <c r="O105" i="13"/>
  <c r="N87" i="13"/>
  <c r="M97" i="13"/>
  <c r="M100" i="13" s="1"/>
  <c r="M107" i="13" s="1"/>
  <c r="M108" i="13" s="1"/>
  <c r="M90" i="13"/>
  <c r="Q54" i="12"/>
  <c r="Q55" i="12" s="1"/>
  <c r="Q56" i="12" s="1"/>
  <c r="Q50" i="12"/>
  <c r="Q52" i="12" s="1"/>
  <c r="P60" i="12"/>
  <c r="P62" i="12" s="1"/>
  <c r="P63" i="12" s="1"/>
  <c r="P57" i="12"/>
  <c r="O57" i="12"/>
  <c r="O60" i="12"/>
  <c r="O62" i="12" s="1"/>
  <c r="O63" i="12" s="1"/>
  <c r="O56" i="12"/>
  <c r="Q48" i="22"/>
  <c r="Q84" i="22"/>
  <c r="Q85" i="22" s="1"/>
  <c r="Q54" i="22"/>
  <c r="P151" i="22"/>
  <c r="N106" i="22"/>
  <c r="N130" i="22"/>
  <c r="N133" i="22" s="1"/>
  <c r="P100" i="22"/>
  <c r="P122" i="22" s="1"/>
  <c r="Q93" i="22"/>
  <c r="Q100" i="22" s="1"/>
  <c r="Q122" i="22" s="1"/>
  <c r="L267" i="22"/>
  <c r="L260" i="22"/>
  <c r="P90" i="22"/>
  <c r="O103" i="22"/>
  <c r="H10" i="22"/>
  <c r="H17" i="22"/>
  <c r="H11" i="22"/>
  <c r="H13" i="22"/>
  <c r="H15" i="22"/>
  <c r="H14" i="22"/>
  <c r="H12" i="22"/>
  <c r="G27" i="22"/>
  <c r="M33" i="22" s="1"/>
  <c r="P99" i="22"/>
  <c r="P121" i="22" s="1"/>
  <c r="Q89" i="22"/>
  <c r="Q99" i="22" s="1"/>
  <c r="Q121" i="22" s="1"/>
  <c r="N56" i="22"/>
  <c r="N57" i="22"/>
  <c r="P155" i="22"/>
  <c r="P286" i="22" s="1"/>
  <c r="Q73" i="22"/>
  <c r="Q155" i="22" s="1"/>
  <c r="Q286" i="22" s="1"/>
  <c r="L120" i="22"/>
  <c r="L101" i="22"/>
  <c r="L108" i="22" s="1"/>
  <c r="L109" i="22" s="1"/>
  <c r="L153" i="22" s="1"/>
  <c r="Q104" i="22"/>
  <c r="Q131" i="22" s="1"/>
  <c r="P105" i="22"/>
  <c r="P132" i="22" s="1"/>
  <c r="Q95" i="22"/>
  <c r="Q105" i="22" s="1"/>
  <c r="Q132" i="22" s="1"/>
  <c r="K267" i="22"/>
  <c r="K260" i="22"/>
  <c r="O284" i="22"/>
  <c r="O51" i="22"/>
  <c r="O52" i="22"/>
  <c r="M267" i="22"/>
  <c r="M268" i="22" s="1"/>
  <c r="M152" i="22" s="1"/>
  <c r="M260" i="22"/>
  <c r="N253" i="22"/>
  <c r="N256" i="22" s="1"/>
  <c r="I140" i="22"/>
  <c r="I141" i="22" s="1"/>
  <c r="L126" i="22"/>
  <c r="M126" i="22" s="1"/>
  <c r="K109" i="22"/>
  <c r="K153" i="22" s="1"/>
  <c r="M98" i="22"/>
  <c r="M91" i="22"/>
  <c r="N88" i="22"/>
  <c r="P104" i="22"/>
  <c r="P131" i="22" s="1"/>
  <c r="O57" i="22"/>
  <c r="O56" i="22"/>
  <c r="O124" i="22"/>
  <c r="P124" i="22" s="1"/>
  <c r="Q71" i="22"/>
  <c r="Q50" i="22" s="1"/>
  <c r="P50" i="22"/>
  <c r="P55" i="22" s="1"/>
  <c r="O130" i="19"/>
  <c r="O133" i="19" s="1"/>
  <c r="O106" i="19"/>
  <c r="J227" i="17"/>
  <c r="J241" i="17" s="1"/>
  <c r="K161" i="15"/>
  <c r="K167" i="15" s="1"/>
  <c r="L158" i="15" s="1"/>
  <c r="L109" i="15"/>
  <c r="L153" i="15" s="1"/>
  <c r="L154" i="15" s="1"/>
  <c r="L156" i="15" s="1"/>
  <c r="L159" i="15" s="1"/>
  <c r="O106" i="14"/>
  <c r="Q93" i="13"/>
  <c r="P103" i="13"/>
  <c r="Q94" i="13"/>
  <c r="P104" i="13"/>
  <c r="N267" i="20"/>
  <c r="N268" i="20" s="1"/>
  <c r="N152" i="20" s="1"/>
  <c r="N260" i="20"/>
  <c r="Q90" i="20"/>
  <c r="O131" i="20"/>
  <c r="P94" i="20"/>
  <c r="P122" i="20"/>
  <c r="Q93" i="20"/>
  <c r="P151" i="20"/>
  <c r="O130" i="20"/>
  <c r="O106" i="20"/>
  <c r="O52" i="20"/>
  <c r="O51" i="20"/>
  <c r="N106" i="20"/>
  <c r="Q54" i="20"/>
  <c r="Q84" i="20"/>
  <c r="Q85" i="20" s="1"/>
  <c r="Q48" i="20"/>
  <c r="O253" i="20"/>
  <c r="O256" i="20" s="1"/>
  <c r="P50" i="20"/>
  <c r="P55" i="20" s="1"/>
  <c r="Q71" i="20"/>
  <c r="Q50" i="20" s="1"/>
  <c r="L267" i="20"/>
  <c r="L260" i="20"/>
  <c r="O121" i="20"/>
  <c r="P89" i="20"/>
  <c r="P155" i="20"/>
  <c r="P124" i="20" s="1"/>
  <c r="Q73" i="20"/>
  <c r="Q155" i="20" s="1"/>
  <c r="P252" i="20"/>
  <c r="N133" i="20"/>
  <c r="L126" i="20"/>
  <c r="O88" i="20"/>
  <c r="N91" i="20"/>
  <c r="M256" i="20"/>
  <c r="P132" i="20"/>
  <c r="Q95" i="20"/>
  <c r="Q132" i="20" s="1"/>
  <c r="O55" i="20"/>
  <c r="P253" i="20"/>
  <c r="Q253" i="20" s="1"/>
  <c r="M120" i="20"/>
  <c r="M101" i="20"/>
  <c r="M108" i="20" s="1"/>
  <c r="M109" i="20" s="1"/>
  <c r="M153" i="20" s="1"/>
  <c r="Q95" i="19"/>
  <c r="Q105" i="19" s="1"/>
  <c r="Q132" i="19" s="1"/>
  <c r="O99" i="19"/>
  <c r="P89" i="19"/>
  <c r="K267" i="19"/>
  <c r="K260" i="19"/>
  <c r="H17" i="19"/>
  <c r="H11" i="19"/>
  <c r="H10" i="19"/>
  <c r="H13" i="19"/>
  <c r="H14" i="19"/>
  <c r="H12" i="19"/>
  <c r="H15" i="19"/>
  <c r="G27" i="19"/>
  <c r="M33" i="19" s="1"/>
  <c r="N57" i="19"/>
  <c r="N56" i="19"/>
  <c r="O151" i="19"/>
  <c r="O55" i="19"/>
  <c r="Q71" i="19"/>
  <c r="P50" i="19"/>
  <c r="M109" i="19"/>
  <c r="M153" i="19" s="1"/>
  <c r="N253" i="19"/>
  <c r="P54" i="19"/>
  <c r="P84" i="19"/>
  <c r="P85" i="19" s="1"/>
  <c r="P48" i="19"/>
  <c r="Q47" i="19"/>
  <c r="P155" i="19"/>
  <c r="Q252" i="19"/>
  <c r="P100" i="19"/>
  <c r="Q93" i="19"/>
  <c r="M267" i="19"/>
  <c r="M268" i="19" s="1"/>
  <c r="M260" i="19"/>
  <c r="O52" i="19"/>
  <c r="O51" i="19"/>
  <c r="P90" i="19"/>
  <c r="P103" i="19" s="1"/>
  <c r="L256" i="19"/>
  <c r="O253" i="19"/>
  <c r="O256" i="19" s="1"/>
  <c r="O88" i="19"/>
  <c r="N98" i="19"/>
  <c r="N101" i="19" s="1"/>
  <c r="N108" i="19" s="1"/>
  <c r="N91" i="19"/>
  <c r="K201" i="17"/>
  <c r="Q88" i="17"/>
  <c r="P91" i="17"/>
  <c r="P48" i="17"/>
  <c r="Q47" i="17"/>
  <c r="P54" i="17"/>
  <c r="P84" i="17"/>
  <c r="P85" i="17" s="1"/>
  <c r="P99" i="17" s="1"/>
  <c r="M64" i="17"/>
  <c r="M65" i="17"/>
  <c r="M150" i="17"/>
  <c r="M154" i="17" s="1"/>
  <c r="M156" i="17" s="1"/>
  <c r="M159" i="17" s="1"/>
  <c r="P155" i="17"/>
  <c r="Q73" i="17"/>
  <c r="Q155" i="17" s="1"/>
  <c r="P95" i="17"/>
  <c r="P105" i="17" s="1"/>
  <c r="P106" i="17" s="1"/>
  <c r="Q94" i="17"/>
  <c r="Q104" i="17" s="1"/>
  <c r="N60" i="17"/>
  <c r="N62" i="17" s="1"/>
  <c r="N63" i="17" s="1"/>
  <c r="N57" i="17"/>
  <c r="N56" i="17"/>
  <c r="N101" i="17"/>
  <c r="N108" i="17" s="1"/>
  <c r="Q89" i="17"/>
  <c r="O52" i="17"/>
  <c r="O51" i="17"/>
  <c r="J181" i="17"/>
  <c r="O100" i="17"/>
  <c r="O101" i="17" s="1"/>
  <c r="O108" i="17" s="1"/>
  <c r="P93" i="17"/>
  <c r="Q90" i="17"/>
  <c r="Q103" i="17" s="1"/>
  <c r="O151" i="17"/>
  <c r="O55" i="17"/>
  <c r="Q71" i="17"/>
  <c r="Q50" i="17" s="1"/>
  <c r="P50" i="17"/>
  <c r="J211" i="17"/>
  <c r="J183" i="17" s="1"/>
  <c r="N60" i="16"/>
  <c r="N62" i="16" s="1"/>
  <c r="N63" i="16" s="1"/>
  <c r="N57" i="16"/>
  <c r="N56" i="16"/>
  <c r="Q95" i="16"/>
  <c r="Q105" i="16" s="1"/>
  <c r="P99" i="16"/>
  <c r="Q89" i="16"/>
  <c r="O151" i="16"/>
  <c r="O55" i="16"/>
  <c r="N98" i="16"/>
  <c r="N101" i="16" s="1"/>
  <c r="N108" i="16" s="1"/>
  <c r="N91" i="16"/>
  <c r="O88" i="16"/>
  <c r="O52" i="16"/>
  <c r="O51" i="16"/>
  <c r="P90" i="16"/>
  <c r="P103" i="16" s="1"/>
  <c r="P106" i="16" s="1"/>
  <c r="P93" i="16"/>
  <c r="O100" i="16"/>
  <c r="P54" i="16"/>
  <c r="P84" i="16"/>
  <c r="P85" i="16" s="1"/>
  <c r="Q47" i="16"/>
  <c r="P48" i="16"/>
  <c r="P155" i="16"/>
  <c r="P50" i="16"/>
  <c r="M150" i="16"/>
  <c r="M154" i="16" s="1"/>
  <c r="M156" i="16" s="1"/>
  <c r="M159" i="16" s="1"/>
  <c r="M65" i="16"/>
  <c r="M64" i="16"/>
  <c r="Q84" i="15"/>
  <c r="Q85" i="15" s="1"/>
  <c r="Q48" i="15"/>
  <c r="Q54" i="15"/>
  <c r="N89" i="15"/>
  <c r="M99" i="15"/>
  <c r="M101" i="15" s="1"/>
  <c r="M108" i="15" s="1"/>
  <c r="M91" i="15"/>
  <c r="P88" i="15"/>
  <c r="O98" i="15"/>
  <c r="P94" i="15"/>
  <c r="P104" i="15" s="1"/>
  <c r="P90" i="15"/>
  <c r="P103" i="15" s="1"/>
  <c r="P95" i="15"/>
  <c r="P105" i="15" s="1"/>
  <c r="Q50" i="15"/>
  <c r="O56" i="15"/>
  <c r="O60" i="15"/>
  <c r="O62" i="15" s="1"/>
  <c r="O63" i="15" s="1"/>
  <c r="O57" i="15"/>
  <c r="O100" i="15"/>
  <c r="P93" i="15"/>
  <c r="P56" i="15"/>
  <c r="P60" i="15"/>
  <c r="P62" i="15" s="1"/>
  <c r="P63" i="15" s="1"/>
  <c r="P57" i="15"/>
  <c r="P95" i="14"/>
  <c r="P105" i="14" s="1"/>
  <c r="H17" i="14"/>
  <c r="H11" i="14"/>
  <c r="H10" i="14"/>
  <c r="H14" i="14"/>
  <c r="H13" i="14"/>
  <c r="H15" i="14"/>
  <c r="H12" i="14"/>
  <c r="G27" i="14"/>
  <c r="M33" i="14" s="1"/>
  <c r="P94" i="14"/>
  <c r="P104" i="14" s="1"/>
  <c r="Q71" i="14"/>
  <c r="P50" i="14"/>
  <c r="O55" i="14"/>
  <c r="H16" i="14"/>
  <c r="N65" i="14"/>
  <c r="N64" i="14"/>
  <c r="O99" i="14"/>
  <c r="P89" i="14"/>
  <c r="P90" i="14"/>
  <c r="P103" i="14" s="1"/>
  <c r="P106" i="14" s="1"/>
  <c r="O52" i="14"/>
  <c r="O51" i="14"/>
  <c r="P84" i="14"/>
  <c r="P85" i="14" s="1"/>
  <c r="P54" i="14"/>
  <c r="P55" i="14" s="1"/>
  <c r="Q47" i="14"/>
  <c r="P48" i="14"/>
  <c r="N88" i="14"/>
  <c r="M98" i="14"/>
  <c r="M101" i="14" s="1"/>
  <c r="M108" i="14" s="1"/>
  <c r="M91" i="14"/>
  <c r="O100" i="14"/>
  <c r="P93" i="14"/>
  <c r="O51" i="13"/>
  <c r="O52" i="13"/>
  <c r="P48" i="13"/>
  <c r="Q47" i="13"/>
  <c r="Q83" i="13" s="1"/>
  <c r="Q84" i="13" s="1"/>
  <c r="Q102" i="13" s="1"/>
  <c r="P54" i="13"/>
  <c r="P55" i="13" s="1"/>
  <c r="P50" i="13"/>
  <c r="N60" i="13"/>
  <c r="N62" i="13" s="1"/>
  <c r="N63" i="13" s="1"/>
  <c r="N57" i="13"/>
  <c r="N56" i="13"/>
  <c r="O55" i="13"/>
  <c r="Q48" i="12"/>
  <c r="Q51" i="12"/>
  <c r="H17" i="12"/>
  <c r="H11" i="12"/>
  <c r="H10" i="12"/>
  <c r="H13" i="12"/>
  <c r="H14" i="12"/>
  <c r="H15" i="12"/>
  <c r="H12" i="12"/>
  <c r="G27" i="12"/>
  <c r="M33" i="12" s="1"/>
  <c r="H16" i="12"/>
  <c r="Q196" i="8"/>
  <c r="P48" i="8"/>
  <c r="N57" i="8"/>
  <c r="N56" i="8"/>
  <c r="O52" i="8"/>
  <c r="O51" i="8"/>
  <c r="O284" i="7"/>
  <c r="O306" i="7"/>
  <c r="O286" i="7"/>
  <c r="N324" i="7"/>
  <c r="N323" i="7"/>
  <c r="N322" i="7"/>
  <c r="N321" i="7"/>
  <c r="N320" i="7"/>
  <c r="N319" i="7"/>
  <c r="N318" i="7"/>
  <c r="N317" i="7"/>
  <c r="N316" i="7"/>
  <c r="P256" i="7"/>
  <c r="Q253" i="7"/>
  <c r="Q256" i="7" s="1"/>
  <c r="N267" i="7"/>
  <c r="N268" i="7" s="1"/>
  <c r="N260" i="7"/>
  <c r="N126" i="7" s="1"/>
  <c r="O126" i="7" s="1"/>
  <c r="N130" i="7"/>
  <c r="N133" i="7" s="1"/>
  <c r="O132" i="7"/>
  <c r="N88" i="7"/>
  <c r="M91" i="7"/>
  <c r="O51" i="7"/>
  <c r="O52" i="7"/>
  <c r="Q197" i="7"/>
  <c r="O122" i="7"/>
  <c r="N57" i="7"/>
  <c r="N56" i="7"/>
  <c r="P90" i="7"/>
  <c r="O130" i="7"/>
  <c r="O55" i="7"/>
  <c r="O124" i="7"/>
  <c r="O131" i="7"/>
  <c r="Q93" i="7"/>
  <c r="Q73" i="7"/>
  <c r="Q94" i="7"/>
  <c r="Q95" i="7"/>
  <c r="L120" i="7"/>
  <c r="Q47" i="7"/>
  <c r="P85" i="7"/>
  <c r="P121" i="7" s="1"/>
  <c r="P54" i="7"/>
  <c r="P50" i="7"/>
  <c r="P48" i="7"/>
  <c r="Q99" i="13" l="1"/>
  <c r="Q104" i="13"/>
  <c r="Q98" i="13"/>
  <c r="Q103" i="13"/>
  <c r="O87" i="13"/>
  <c r="N97" i="13"/>
  <c r="N100" i="13" s="1"/>
  <c r="N107" i="13" s="1"/>
  <c r="N90" i="13"/>
  <c r="P65" i="12"/>
  <c r="P64" i="12"/>
  <c r="O65" i="12"/>
  <c r="O64" i="12"/>
  <c r="Q57" i="12"/>
  <c r="Q60" i="12"/>
  <c r="Q62" i="12" s="1"/>
  <c r="Q63" i="12" s="1"/>
  <c r="P56" i="22"/>
  <c r="P57" i="22"/>
  <c r="N267" i="22"/>
  <c r="N268" i="22" s="1"/>
  <c r="N152" i="22" s="1"/>
  <c r="N260" i="22"/>
  <c r="N98" i="22"/>
  <c r="N91" i="22"/>
  <c r="O88" i="22"/>
  <c r="N126" i="22"/>
  <c r="P253" i="22"/>
  <c r="P256" i="22" s="1"/>
  <c r="Q151" i="22"/>
  <c r="Q124" i="22" s="1"/>
  <c r="Q55" i="22"/>
  <c r="P103" i="22"/>
  <c r="Q90" i="22"/>
  <c r="Q103" i="22" s="1"/>
  <c r="Q284" i="22"/>
  <c r="Q51" i="22"/>
  <c r="Q52" i="22"/>
  <c r="O253" i="22"/>
  <c r="O256" i="22" s="1"/>
  <c r="P284" i="22"/>
  <c r="P52" i="22"/>
  <c r="P51" i="22"/>
  <c r="M120" i="22"/>
  <c r="M101" i="22"/>
  <c r="M108" i="22" s="1"/>
  <c r="M109" i="22" s="1"/>
  <c r="M153" i="22" s="1"/>
  <c r="O106" i="22"/>
  <c r="O130" i="22"/>
  <c r="O133" i="22" s="1"/>
  <c r="P130" i="19"/>
  <c r="P133" i="19" s="1"/>
  <c r="P106" i="19"/>
  <c r="J228" i="17"/>
  <c r="J242" i="17" s="1"/>
  <c r="J226" i="17"/>
  <c r="J240" i="17" s="1"/>
  <c r="J210" i="16"/>
  <c r="J182" i="16" s="1"/>
  <c r="K201" i="16" s="1"/>
  <c r="J181" i="16"/>
  <c r="P106" i="15"/>
  <c r="K170" i="15"/>
  <c r="K171" i="15" s="1"/>
  <c r="L161" i="15"/>
  <c r="L167" i="15" s="1"/>
  <c r="M158" i="15" s="1"/>
  <c r="M109" i="15"/>
  <c r="M153" i="15" s="1"/>
  <c r="M154" i="15" s="1"/>
  <c r="M156" i="15" s="1"/>
  <c r="M159" i="15" s="1"/>
  <c r="M109" i="14"/>
  <c r="P105" i="13"/>
  <c r="Q105" i="13"/>
  <c r="O133" i="20"/>
  <c r="P57" i="20"/>
  <c r="P56" i="20"/>
  <c r="O260" i="20"/>
  <c r="O267" i="20"/>
  <c r="O268" i="20" s="1"/>
  <c r="O152" i="20" s="1"/>
  <c r="N101" i="20"/>
  <c r="N108" i="20" s="1"/>
  <c r="N120" i="20"/>
  <c r="P131" i="20"/>
  <c r="Q94" i="20"/>
  <c r="Q131" i="20" s="1"/>
  <c r="N109" i="20"/>
  <c r="N153" i="20" s="1"/>
  <c r="M267" i="20"/>
  <c r="M268" i="20" s="1"/>
  <c r="M152" i="20" s="1"/>
  <c r="M260" i="20"/>
  <c r="P88" i="20"/>
  <c r="O91" i="20"/>
  <c r="M126" i="20"/>
  <c r="N126" i="20" s="1"/>
  <c r="O126" i="20" s="1"/>
  <c r="P126" i="20" s="1"/>
  <c r="Q151" i="20"/>
  <c r="Q124" i="20" s="1"/>
  <c r="Q55" i="20"/>
  <c r="P256" i="20"/>
  <c r="Q252" i="20"/>
  <c r="Q256" i="20" s="1"/>
  <c r="P52" i="20"/>
  <c r="P51" i="20"/>
  <c r="P130" i="20"/>
  <c r="O57" i="20"/>
  <c r="O56" i="20"/>
  <c r="P121" i="20"/>
  <c r="Q89" i="20"/>
  <c r="Q121" i="20" s="1"/>
  <c r="Q52" i="20"/>
  <c r="Q51" i="20"/>
  <c r="Q122" i="20"/>
  <c r="O98" i="19"/>
  <c r="O101" i="19" s="1"/>
  <c r="O108" i="19" s="1"/>
  <c r="O91" i="19"/>
  <c r="P88" i="19"/>
  <c r="P151" i="19"/>
  <c r="P55" i="19"/>
  <c r="Q50" i="19"/>
  <c r="Q84" i="19"/>
  <c r="Q85" i="19" s="1"/>
  <c r="Q54" i="19"/>
  <c r="Q48" i="19"/>
  <c r="Q155" i="19"/>
  <c r="N256" i="19"/>
  <c r="P253" i="19"/>
  <c r="O57" i="19"/>
  <c r="O56" i="19"/>
  <c r="O260" i="19"/>
  <c r="O267" i="19"/>
  <c r="O268" i="19" s="1"/>
  <c r="Q90" i="19"/>
  <c r="Q103" i="19" s="1"/>
  <c r="O109" i="19"/>
  <c r="O153" i="19" s="1"/>
  <c r="L267" i="19"/>
  <c r="L260" i="19"/>
  <c r="P52" i="19"/>
  <c r="P51" i="19"/>
  <c r="N109" i="19"/>
  <c r="N153" i="19" s="1"/>
  <c r="Q89" i="19"/>
  <c r="Q99" i="19" s="1"/>
  <c r="P99" i="19"/>
  <c r="O60" i="17"/>
  <c r="O62" i="17" s="1"/>
  <c r="O63" i="17" s="1"/>
  <c r="O57" i="17"/>
  <c r="O56" i="17"/>
  <c r="P100" i="17"/>
  <c r="Q93" i="17"/>
  <c r="K202" i="17"/>
  <c r="N150" i="17"/>
  <c r="N65" i="17"/>
  <c r="N64" i="17"/>
  <c r="J212" i="17"/>
  <c r="J184" i="17" s="1"/>
  <c r="P98" i="17"/>
  <c r="P101" i="17" s="1"/>
  <c r="P52" i="17"/>
  <c r="P51" i="17"/>
  <c r="J189" i="17"/>
  <c r="K200" i="17"/>
  <c r="O109" i="17"/>
  <c r="O153" i="17" s="1"/>
  <c r="N109" i="17"/>
  <c r="N153" i="17" s="1"/>
  <c r="Q95" i="17"/>
  <c r="Q105" i="17" s="1"/>
  <c r="Q106" i="17" s="1"/>
  <c r="P151" i="17"/>
  <c r="P55" i="17"/>
  <c r="Q52" i="17"/>
  <c r="Q51" i="17"/>
  <c r="Q99" i="17"/>
  <c r="Q54" i="17"/>
  <c r="Q84" i="17"/>
  <c r="Q85" i="17" s="1"/>
  <c r="Q48" i="17"/>
  <c r="Q98" i="17"/>
  <c r="Q91" i="17"/>
  <c r="Q84" i="16"/>
  <c r="Q85" i="16" s="1"/>
  <c r="Q54" i="16"/>
  <c r="Q48" i="16"/>
  <c r="Q155" i="16"/>
  <c r="Q50" i="16"/>
  <c r="P100" i="16"/>
  <c r="Q93" i="16"/>
  <c r="Q100" i="16" s="1"/>
  <c r="O57" i="16"/>
  <c r="O56" i="16"/>
  <c r="O60" i="16"/>
  <c r="O62" i="16" s="1"/>
  <c r="O63" i="16" s="1"/>
  <c r="N109" i="16"/>
  <c r="N153" i="16" s="1"/>
  <c r="P52" i="16"/>
  <c r="P51" i="16"/>
  <c r="Q90" i="16"/>
  <c r="Q103" i="16" s="1"/>
  <c r="Q106" i="16" s="1"/>
  <c r="O98" i="16"/>
  <c r="O101" i="16" s="1"/>
  <c r="O108" i="16" s="1"/>
  <c r="O91" i="16"/>
  <c r="P88" i="16"/>
  <c r="P151" i="16"/>
  <c r="P55" i="16"/>
  <c r="Q99" i="16"/>
  <c r="N150" i="16"/>
  <c r="N65" i="16"/>
  <c r="N64" i="16"/>
  <c r="O64" i="15"/>
  <c r="O65" i="15"/>
  <c r="Q93" i="15"/>
  <c r="Q100" i="15" s="1"/>
  <c r="P100" i="15"/>
  <c r="Q90" i="15"/>
  <c r="Q103" i="15" s="1"/>
  <c r="Q55" i="15"/>
  <c r="Q52" i="15"/>
  <c r="Q51" i="15"/>
  <c r="P65" i="15"/>
  <c r="P64" i="15"/>
  <c r="Q95" i="15"/>
  <c r="Q105" i="15" s="1"/>
  <c r="Q94" i="15"/>
  <c r="Q104" i="15" s="1"/>
  <c r="P98" i="15"/>
  <c r="Q88" i="15"/>
  <c r="O89" i="15"/>
  <c r="N99" i="15"/>
  <c r="N101" i="15" s="1"/>
  <c r="N108" i="15" s="1"/>
  <c r="N91" i="15"/>
  <c r="Q89" i="14"/>
  <c r="P99" i="14"/>
  <c r="Q48" i="14"/>
  <c r="Q54" i="14"/>
  <c r="Q84" i="14"/>
  <c r="Q85" i="14" s="1"/>
  <c r="O56" i="14"/>
  <c r="O60" i="14"/>
  <c r="O62" i="14" s="1"/>
  <c r="O63" i="14" s="1"/>
  <c r="O57" i="14"/>
  <c r="Q94" i="14"/>
  <c r="Q104" i="14" s="1"/>
  <c r="P57" i="14"/>
  <c r="P60" i="14"/>
  <c r="P62" i="14" s="1"/>
  <c r="P63" i="14" s="1"/>
  <c r="P56" i="14"/>
  <c r="Q90" i="14"/>
  <c r="Q103" i="14" s="1"/>
  <c r="Q106" i="14" s="1"/>
  <c r="P52" i="14"/>
  <c r="P51" i="14"/>
  <c r="Q93" i="14"/>
  <c r="Q100" i="14" s="1"/>
  <c r="P100" i="14"/>
  <c r="N98" i="14"/>
  <c r="N101" i="14" s="1"/>
  <c r="N108" i="14" s="1"/>
  <c r="N91" i="14"/>
  <c r="O88" i="14"/>
  <c r="Q50" i="14"/>
  <c r="Q95" i="14"/>
  <c r="Q105" i="14" s="1"/>
  <c r="Q54" i="13"/>
  <c r="Q48" i="13"/>
  <c r="Q50" i="13"/>
  <c r="O60" i="13"/>
  <c r="O62" i="13" s="1"/>
  <c r="O63" i="13" s="1"/>
  <c r="O57" i="13"/>
  <c r="O56" i="13"/>
  <c r="P52" i="13"/>
  <c r="P51" i="13"/>
  <c r="N65" i="13"/>
  <c r="N64" i="13"/>
  <c r="P57" i="13"/>
  <c r="P56" i="13"/>
  <c r="P60" i="13"/>
  <c r="P62" i="13" s="1"/>
  <c r="P63" i="13" s="1"/>
  <c r="Q48" i="8"/>
  <c r="O56" i="8"/>
  <c r="O57" i="8"/>
  <c r="P51" i="8"/>
  <c r="P52" i="8"/>
  <c r="P286" i="7"/>
  <c r="O324" i="7"/>
  <c r="O323" i="7"/>
  <c r="O322" i="7"/>
  <c r="O321" i="7"/>
  <c r="O320" i="7"/>
  <c r="O319" i="7"/>
  <c r="O318" i="7"/>
  <c r="O317" i="7"/>
  <c r="O316" i="7"/>
  <c r="P284" i="7"/>
  <c r="P306" i="7"/>
  <c r="Q267" i="7"/>
  <c r="Q268" i="7" s="1"/>
  <c r="Q260" i="7"/>
  <c r="P267" i="7"/>
  <c r="P268" i="7" s="1"/>
  <c r="P260" i="7"/>
  <c r="P126" i="7" s="1"/>
  <c r="Q126" i="7" s="1"/>
  <c r="O133" i="7"/>
  <c r="P131" i="7"/>
  <c r="P124" i="7"/>
  <c r="P55" i="7"/>
  <c r="O88" i="7"/>
  <c r="N91" i="7"/>
  <c r="P51" i="7"/>
  <c r="P52" i="7"/>
  <c r="P132" i="7"/>
  <c r="P122" i="7"/>
  <c r="O56" i="7"/>
  <c r="O57" i="7"/>
  <c r="Q85" i="7"/>
  <c r="Q121" i="7" s="1"/>
  <c r="Q54" i="7"/>
  <c r="Q50" i="7"/>
  <c r="Q48" i="7"/>
  <c r="Q132" i="7"/>
  <c r="Q90" i="7"/>
  <c r="P130" i="7"/>
  <c r="M120" i="7"/>
  <c r="N108" i="13" l="1"/>
  <c r="P87" i="13"/>
  <c r="O97" i="13"/>
  <c r="O100" i="13" s="1"/>
  <c r="O107" i="13" s="1"/>
  <c r="O108" i="13" s="1"/>
  <c r="O90" i="13"/>
  <c r="Q65" i="12"/>
  <c r="Q64" i="12"/>
  <c r="O260" i="22"/>
  <c r="O267" i="22"/>
  <c r="O268" i="22" s="1"/>
  <c r="O152" i="22" s="1"/>
  <c r="P130" i="22"/>
  <c r="P133" i="22" s="1"/>
  <c r="P106" i="22"/>
  <c r="P267" i="22"/>
  <c r="P268" i="22" s="1"/>
  <c r="P152" i="22" s="1"/>
  <c r="P260" i="22"/>
  <c r="O98" i="22"/>
  <c r="O91" i="22"/>
  <c r="P88" i="22"/>
  <c r="Q253" i="22"/>
  <c r="Q256" i="22" s="1"/>
  <c r="Q57" i="22"/>
  <c r="Q56" i="22"/>
  <c r="N120" i="22"/>
  <c r="N101" i="22"/>
  <c r="N108" i="22" s="1"/>
  <c r="Q130" i="22"/>
  <c r="Q133" i="22" s="1"/>
  <c r="Q106" i="22"/>
  <c r="O126" i="22"/>
  <c r="P126" i="22" s="1"/>
  <c r="Q106" i="19"/>
  <c r="Q130" i="19"/>
  <c r="Q133" i="19" s="1"/>
  <c r="J225" i="17"/>
  <c r="J239" i="17" s="1"/>
  <c r="J185" i="17"/>
  <c r="J186" i="17" s="1"/>
  <c r="J229" i="17"/>
  <c r="J243" i="17" s="1"/>
  <c r="J248" i="17" s="1"/>
  <c r="J249" i="17" s="1"/>
  <c r="J266" i="17" s="1"/>
  <c r="J268" i="17" s="1"/>
  <c r="N154" i="16"/>
  <c r="N156" i="16" s="1"/>
  <c r="N159" i="16" s="1"/>
  <c r="J189" i="16"/>
  <c r="K200" i="16"/>
  <c r="J211" i="16"/>
  <c r="M161" i="15"/>
  <c r="M167" i="15" s="1"/>
  <c r="N158" i="15" s="1"/>
  <c r="N109" i="15"/>
  <c r="N153" i="15" s="1"/>
  <c r="N154" i="15" s="1"/>
  <c r="N156" i="15" s="1"/>
  <c r="N159" i="15" s="1"/>
  <c r="Q106" i="15"/>
  <c r="L170" i="15"/>
  <c r="L171" i="15" s="1"/>
  <c r="N109" i="14"/>
  <c r="P133" i="20"/>
  <c r="Q106" i="20"/>
  <c r="Q130" i="20"/>
  <c r="Q133" i="20" s="1"/>
  <c r="P106" i="20"/>
  <c r="P267" i="20"/>
  <c r="P268" i="20" s="1"/>
  <c r="P152" i="20" s="1"/>
  <c r="P260" i="20"/>
  <c r="O120" i="20"/>
  <c r="O101" i="20"/>
  <c r="O108" i="20" s="1"/>
  <c r="O109" i="20" s="1"/>
  <c r="O153" i="20" s="1"/>
  <c r="Q267" i="20"/>
  <c r="Q268" i="20" s="1"/>
  <c r="Q152" i="20" s="1"/>
  <c r="Q260" i="20"/>
  <c r="Q56" i="20"/>
  <c r="Q57" i="20"/>
  <c r="Q126" i="20"/>
  <c r="P91" i="20"/>
  <c r="Q88" i="20"/>
  <c r="Q100" i="19"/>
  <c r="Q51" i="19"/>
  <c r="Q52" i="19"/>
  <c r="P98" i="19"/>
  <c r="P101" i="19" s="1"/>
  <c r="P108" i="19" s="1"/>
  <c r="P91" i="19"/>
  <c r="Q88" i="19"/>
  <c r="P256" i="19"/>
  <c r="Q253" i="19"/>
  <c r="Q256" i="19" s="1"/>
  <c r="Q151" i="19"/>
  <c r="Q55" i="19"/>
  <c r="P56" i="19"/>
  <c r="P57" i="19"/>
  <c r="N267" i="19"/>
  <c r="N268" i="19" s="1"/>
  <c r="N260" i="19"/>
  <c r="P109" i="19"/>
  <c r="P153" i="19" s="1"/>
  <c r="P57" i="17"/>
  <c r="P56" i="17"/>
  <c r="P60" i="17"/>
  <c r="P62" i="17" s="1"/>
  <c r="P63" i="17" s="1"/>
  <c r="Q151" i="17"/>
  <c r="Q55" i="17"/>
  <c r="P108" i="17"/>
  <c r="N154" i="17"/>
  <c r="N156" i="17" s="1"/>
  <c r="N159" i="17" s="1"/>
  <c r="Q100" i="17"/>
  <c r="O150" i="17"/>
  <c r="O154" i="17" s="1"/>
  <c r="O156" i="17" s="1"/>
  <c r="O159" i="17" s="1"/>
  <c r="O65" i="17"/>
  <c r="O64" i="17"/>
  <c r="K203" i="17"/>
  <c r="Q101" i="17"/>
  <c r="Q108" i="17" s="1"/>
  <c r="J213" i="17"/>
  <c r="J164" i="17" s="1"/>
  <c r="J167" i="17" s="1"/>
  <c r="O150" i="16"/>
  <c r="O65" i="16"/>
  <c r="O64" i="16"/>
  <c r="Q55" i="16"/>
  <c r="Q151" i="16"/>
  <c r="P56" i="16"/>
  <c r="P57" i="16"/>
  <c r="P60" i="16"/>
  <c r="P62" i="16" s="1"/>
  <c r="P63" i="16" s="1"/>
  <c r="Q88" i="16"/>
  <c r="P98" i="16"/>
  <c r="P101" i="16" s="1"/>
  <c r="P108" i="16" s="1"/>
  <c r="P109" i="16" s="1"/>
  <c r="P153" i="16" s="1"/>
  <c r="P91" i="16"/>
  <c r="O109" i="16"/>
  <c r="O153" i="16" s="1"/>
  <c r="Q51" i="16"/>
  <c r="Q52" i="16"/>
  <c r="O99" i="15"/>
  <c r="O101" i="15" s="1"/>
  <c r="O108" i="15" s="1"/>
  <c r="P89" i="15"/>
  <c r="O91" i="15"/>
  <c r="Q98" i="15"/>
  <c r="Q60" i="15"/>
  <c r="Q62" i="15" s="1"/>
  <c r="Q63" i="15" s="1"/>
  <c r="Q57" i="15"/>
  <c r="Q56" i="15"/>
  <c r="Q51" i="14"/>
  <c r="Q52" i="14"/>
  <c r="P65" i="14"/>
  <c r="P64" i="14"/>
  <c r="Q55" i="14"/>
  <c r="O64" i="14"/>
  <c r="O65" i="14"/>
  <c r="O98" i="14"/>
  <c r="O101" i="14" s="1"/>
  <c r="O108" i="14" s="1"/>
  <c r="O91" i="14"/>
  <c r="P88" i="14"/>
  <c r="Q99" i="14"/>
  <c r="O65" i="13"/>
  <c r="O64" i="13"/>
  <c r="Q52" i="13"/>
  <c r="Q51" i="13"/>
  <c r="P65" i="13"/>
  <c r="P64" i="13"/>
  <c r="Q55" i="13"/>
  <c r="Q52" i="8"/>
  <c r="Q51" i="8"/>
  <c r="P57" i="8"/>
  <c r="P56" i="8"/>
  <c r="Q306" i="7"/>
  <c r="Q284" i="7"/>
  <c r="Q286" i="7"/>
  <c r="P324" i="7"/>
  <c r="P323" i="7"/>
  <c r="P322" i="7"/>
  <c r="P321" i="7"/>
  <c r="P320" i="7"/>
  <c r="P319" i="7"/>
  <c r="P318" i="7"/>
  <c r="P317" i="7"/>
  <c r="P316" i="7"/>
  <c r="P133" i="7"/>
  <c r="Q131" i="7"/>
  <c r="Q122" i="7"/>
  <c r="O91" i="7"/>
  <c r="P88" i="7"/>
  <c r="Q124" i="7"/>
  <c r="Q55" i="7"/>
  <c r="Q130" i="7"/>
  <c r="N120" i="7"/>
  <c r="P56" i="7"/>
  <c r="P57" i="7"/>
  <c r="Q52" i="7"/>
  <c r="Q51" i="7"/>
  <c r="Q87" i="13" l="1"/>
  <c r="P97" i="13"/>
  <c r="P100" i="13" s="1"/>
  <c r="P107" i="13" s="1"/>
  <c r="P90" i="13"/>
  <c r="Q88" i="22"/>
  <c r="P98" i="22"/>
  <c r="P91" i="22"/>
  <c r="O109" i="22"/>
  <c r="O153" i="22" s="1"/>
  <c r="Q126" i="22"/>
  <c r="Q267" i="22"/>
  <c r="Q268" i="22" s="1"/>
  <c r="Q152" i="22" s="1"/>
  <c r="Q260" i="22"/>
  <c r="N109" i="22"/>
  <c r="N153" i="22" s="1"/>
  <c r="O120" i="22"/>
  <c r="O101" i="22"/>
  <c r="O108" i="22" s="1"/>
  <c r="J244" i="17"/>
  <c r="J259" i="17" s="1"/>
  <c r="J261" i="17" s="1"/>
  <c r="J212" i="16"/>
  <c r="J184" i="16" s="1"/>
  <c r="K203" i="16" s="1"/>
  <c r="J183" i="16"/>
  <c r="M170" i="15"/>
  <c r="M171" i="15" s="1"/>
  <c r="N161" i="15"/>
  <c r="N167" i="15" s="1"/>
  <c r="O158" i="15" s="1"/>
  <c r="N170" i="15"/>
  <c r="N171" i="15" s="1"/>
  <c r="O109" i="15"/>
  <c r="O153" i="15" s="1"/>
  <c r="O154" i="15" s="1"/>
  <c r="O156" i="15" s="1"/>
  <c r="O159" i="15" s="1"/>
  <c r="O109" i="14"/>
  <c r="Q91" i="20"/>
  <c r="P120" i="20"/>
  <c r="P101" i="20"/>
  <c r="P108" i="20" s="1"/>
  <c r="Q91" i="19"/>
  <c r="Q98" i="19"/>
  <c r="Q101" i="19" s="1"/>
  <c r="Q108" i="19" s="1"/>
  <c r="Q267" i="19"/>
  <c r="Q268" i="19" s="1"/>
  <c r="Q260" i="19"/>
  <c r="P267" i="19"/>
  <c r="P268" i="19" s="1"/>
  <c r="P260" i="19"/>
  <c r="Q109" i="19"/>
  <c r="Q153" i="19" s="1"/>
  <c r="Q57" i="19"/>
  <c r="Q56" i="19"/>
  <c r="K158" i="17"/>
  <c r="J170" i="17"/>
  <c r="J171" i="17" s="1"/>
  <c r="J262" i="17" s="1"/>
  <c r="Q56" i="17"/>
  <c r="Q60" i="17"/>
  <c r="Q62" i="17" s="1"/>
  <c r="Q63" i="17" s="1"/>
  <c r="Q57" i="17"/>
  <c r="K204" i="17"/>
  <c r="Q109" i="17"/>
  <c r="Q153" i="17" s="1"/>
  <c r="P109" i="17"/>
  <c r="P153" i="17" s="1"/>
  <c r="P150" i="17"/>
  <c r="P65" i="17"/>
  <c r="P64" i="17"/>
  <c r="Q91" i="16"/>
  <c r="Q98" i="16"/>
  <c r="Q101" i="16" s="1"/>
  <c r="Q108" i="16" s="1"/>
  <c r="O154" i="16"/>
  <c r="O156" i="16" s="1"/>
  <c r="O159" i="16" s="1"/>
  <c r="P150" i="16"/>
  <c r="P154" i="16" s="1"/>
  <c r="P156" i="16" s="1"/>
  <c r="P159" i="16" s="1"/>
  <c r="P64" i="16"/>
  <c r="P65" i="16"/>
  <c r="Q60" i="16"/>
  <c r="Q62" i="16" s="1"/>
  <c r="Q63" i="16" s="1"/>
  <c r="Q56" i="16"/>
  <c r="Q57" i="16"/>
  <c r="Q109" i="16"/>
  <c r="Q153" i="16" s="1"/>
  <c r="Q64" i="15"/>
  <c r="Q65" i="15"/>
  <c r="P99" i="15"/>
  <c r="P101" i="15" s="1"/>
  <c r="P108" i="15" s="1"/>
  <c r="Q89" i="15"/>
  <c r="P91" i="15"/>
  <c r="P91" i="14"/>
  <c r="Q88" i="14"/>
  <c r="P98" i="14"/>
  <c r="P101" i="14" s="1"/>
  <c r="P108" i="14" s="1"/>
  <c r="Q60" i="14"/>
  <c r="Q62" i="14" s="1"/>
  <c r="Q63" i="14" s="1"/>
  <c r="Q56" i="14"/>
  <c r="Q57" i="14"/>
  <c r="Q56" i="13"/>
  <c r="Q57" i="13"/>
  <c r="Q60" i="13"/>
  <c r="Q62" i="13" s="1"/>
  <c r="Q63" i="13" s="1"/>
  <c r="Q57" i="8"/>
  <c r="Q56" i="8"/>
  <c r="Q133" i="7"/>
  <c r="Q324" i="7"/>
  <c r="Q323" i="7"/>
  <c r="Q322" i="7"/>
  <c r="Q321" i="7"/>
  <c r="Q320" i="7"/>
  <c r="Q319" i="7"/>
  <c r="Q318" i="7"/>
  <c r="Q317" i="7"/>
  <c r="Q316" i="7"/>
  <c r="P91" i="7"/>
  <c r="Q88" i="7"/>
  <c r="Q56" i="7"/>
  <c r="Q57" i="7"/>
  <c r="O120" i="7"/>
  <c r="P108" i="13" l="1"/>
  <c r="Q97" i="13"/>
  <c r="Q100" i="13" s="1"/>
  <c r="Q107" i="13" s="1"/>
  <c r="Q108" i="13" s="1"/>
  <c r="Q90" i="13"/>
  <c r="P101" i="22"/>
  <c r="P108" i="22" s="1"/>
  <c r="P120" i="22"/>
  <c r="Q98" i="22"/>
  <c r="Q91" i="22"/>
  <c r="J263" i="17"/>
  <c r="J213" i="16"/>
  <c r="J164" i="16" s="1"/>
  <c r="J167" i="16" s="1"/>
  <c r="K202" i="16"/>
  <c r="K204" i="16" s="1"/>
  <c r="K163" i="16" s="1"/>
  <c r="J185" i="16"/>
  <c r="J186" i="16" s="1"/>
  <c r="O161" i="15"/>
  <c r="O167" i="15" s="1"/>
  <c r="P158" i="15" s="1"/>
  <c r="P109" i="15"/>
  <c r="P153" i="15" s="1"/>
  <c r="P154" i="15" s="1"/>
  <c r="P156" i="15" s="1"/>
  <c r="P159" i="15" s="1"/>
  <c r="P109" i="14"/>
  <c r="Q120" i="20"/>
  <c r="Q101" i="20"/>
  <c r="Q108" i="20" s="1"/>
  <c r="Q109" i="20" s="1"/>
  <c r="Q153" i="20" s="1"/>
  <c r="P109" i="20"/>
  <c r="P153" i="20" s="1"/>
  <c r="K163" i="17"/>
  <c r="P154" i="17"/>
  <c r="P156" i="17" s="1"/>
  <c r="P159" i="17" s="1"/>
  <c r="Q64" i="17"/>
  <c r="Q150" i="17"/>
  <c r="Q154" i="17" s="1"/>
  <c r="Q156" i="17" s="1"/>
  <c r="Q159" i="17" s="1"/>
  <c r="Q65" i="17"/>
  <c r="K161" i="17"/>
  <c r="K191" i="17" s="1"/>
  <c r="K206" i="17" s="1"/>
  <c r="K209" i="17" s="1"/>
  <c r="Q150" i="16"/>
  <c r="Q154" i="16" s="1"/>
  <c r="Q156" i="16" s="1"/>
  <c r="Q159" i="16" s="1"/>
  <c r="Q64" i="16"/>
  <c r="Q65" i="16"/>
  <c r="Q99" i="15"/>
  <c r="Q101" i="15" s="1"/>
  <c r="Q108" i="15" s="1"/>
  <c r="Q109" i="15" s="1"/>
  <c r="Q153" i="15" s="1"/>
  <c r="Q154" i="15" s="1"/>
  <c r="Q156" i="15" s="1"/>
  <c r="Q159" i="15" s="1"/>
  <c r="Q91" i="15"/>
  <c r="Q64" i="14"/>
  <c r="Q65" i="14"/>
  <c r="Q98" i="14"/>
  <c r="Q101" i="14" s="1"/>
  <c r="Q108" i="14" s="1"/>
  <c r="Q109" i="14" s="1"/>
  <c r="Q91" i="14"/>
  <c r="Q64" i="13"/>
  <c r="Q65" i="13"/>
  <c r="P120" i="7"/>
  <c r="Q91" i="7"/>
  <c r="Q109" i="22" l="1"/>
  <c r="Q153" i="22" s="1"/>
  <c r="Q120" i="22"/>
  <c r="Q101" i="22"/>
  <c r="Q108" i="22" s="1"/>
  <c r="P109" i="22"/>
  <c r="P153" i="22" s="1"/>
  <c r="K158" i="16"/>
  <c r="K161" i="16" s="1"/>
  <c r="K191" i="16" s="1"/>
  <c r="K206" i="16" s="1"/>
  <c r="K209" i="16" s="1"/>
  <c r="J170" i="16"/>
  <c r="J171" i="16" s="1"/>
  <c r="O170" i="15"/>
  <c r="O171" i="15" s="1"/>
  <c r="P161" i="15"/>
  <c r="P167" i="15" s="1"/>
  <c r="Q158" i="15" s="1"/>
  <c r="K210" i="17"/>
  <c r="K182" i="17" s="1"/>
  <c r="Q120" i="7"/>
  <c r="J64" i="8"/>
  <c r="K64" i="8"/>
  <c r="L64" i="8"/>
  <c r="M64" i="8"/>
  <c r="N64" i="8"/>
  <c r="O64" i="8"/>
  <c r="P64" i="8"/>
  <c r="Q64" i="8"/>
  <c r="J65" i="8"/>
  <c r="K65" i="8"/>
  <c r="L65" i="8"/>
  <c r="M65" i="8"/>
  <c r="N65" i="8"/>
  <c r="O65" i="8"/>
  <c r="P65" i="8"/>
  <c r="Q65" i="8"/>
  <c r="J141" i="8"/>
  <c r="K141" i="8"/>
  <c r="L141" i="8"/>
  <c r="M141" i="8"/>
  <c r="N141" i="8"/>
  <c r="O141" i="8"/>
  <c r="P141" i="8"/>
  <c r="Q141" i="8"/>
  <c r="K227" i="17" l="1"/>
  <c r="K241" i="17" s="1"/>
  <c r="K181" i="16"/>
  <c r="P170" i="15"/>
  <c r="P171" i="15" s="1"/>
  <c r="Q161" i="15"/>
  <c r="Q167" i="15" s="1"/>
  <c r="Q170" i="15" s="1"/>
  <c r="Q171" i="15" s="1"/>
  <c r="L201" i="17"/>
  <c r="K211" i="17"/>
  <c r="K183" i="17" s="1"/>
  <c r="K181" i="17"/>
  <c r="M32" i="8"/>
  <c r="K226" i="17" l="1"/>
  <c r="K240" i="17" s="1"/>
  <c r="K228" i="17"/>
  <c r="K242" i="17" s="1"/>
  <c r="K210" i="16"/>
  <c r="K182" i="16" s="1"/>
  <c r="L201" i="16" s="1"/>
  <c r="L200" i="16"/>
  <c r="K189" i="16"/>
  <c r="K212" i="17"/>
  <c r="K184" i="17" s="1"/>
  <c r="K189" i="17"/>
  <c r="L200" i="17"/>
  <c r="L202" i="17"/>
  <c r="J186" i="8"/>
  <c r="K186" i="8"/>
  <c r="L186" i="8"/>
  <c r="M186" i="8"/>
  <c r="N186" i="8"/>
  <c r="O186" i="8"/>
  <c r="P186" i="8"/>
  <c r="Q186" i="8"/>
  <c r="K229" i="17" l="1"/>
  <c r="K243" i="17" s="1"/>
  <c r="K248" i="17" s="1"/>
  <c r="K249" i="17" s="1"/>
  <c r="K266" i="17" s="1"/>
  <c r="K268" i="17" s="1"/>
  <c r="K225" i="17"/>
  <c r="K239" i="17" s="1"/>
  <c r="K211" i="16"/>
  <c r="K183" i="16" s="1"/>
  <c r="L202" i="16" s="1"/>
  <c r="K213" i="17"/>
  <c r="K164" i="17" s="1"/>
  <c r="K167" i="17" s="1"/>
  <c r="L203" i="17"/>
  <c r="K185" i="17"/>
  <c r="K186" i="17" s="1"/>
  <c r="K212" i="16" l="1"/>
  <c r="K184" i="16" s="1"/>
  <c r="L203" i="16" s="1"/>
  <c r="L204" i="16" s="1"/>
  <c r="L163" i="16" s="1"/>
  <c r="K244" i="17"/>
  <c r="K259" i="17" s="1"/>
  <c r="K261" i="17" s="1"/>
  <c r="K213" i="16"/>
  <c r="K164" i="16" s="1"/>
  <c r="K167" i="16" s="1"/>
  <c r="L158" i="17"/>
  <c r="K170" i="17"/>
  <c r="K171" i="17" s="1"/>
  <c r="K262" i="17" s="1"/>
  <c r="L204" i="17"/>
  <c r="K185" i="16" l="1"/>
  <c r="K186" i="16" s="1"/>
  <c r="K263" i="17"/>
  <c r="K170" i="16"/>
  <c r="K171" i="16" s="1"/>
  <c r="L158" i="16"/>
  <c r="L161" i="16" s="1"/>
  <c r="L191" i="16" s="1"/>
  <c r="L206" i="16" s="1"/>
  <c r="L209" i="16" s="1"/>
  <c r="L161" i="17"/>
  <c r="L191" i="17" s="1"/>
  <c r="L206" i="17" s="1"/>
  <c r="L209" i="17" s="1"/>
  <c r="L163" i="17"/>
  <c r="L210" i="16" l="1"/>
  <c r="L182" i="16" s="1"/>
  <c r="M201" i="16" s="1"/>
  <c r="L210" i="17"/>
  <c r="L182" i="17" s="1"/>
  <c r="L211" i="16" l="1"/>
  <c r="L183" i="16" s="1"/>
  <c r="M202" i="16" s="1"/>
  <c r="L211" i="17"/>
  <c r="L183" i="17" s="1"/>
  <c r="M202" i="17" s="1"/>
  <c r="L227" i="17"/>
  <c r="L241" i="17" s="1"/>
  <c r="L212" i="16"/>
  <c r="L184" i="16" s="1"/>
  <c r="M203" i="16" s="1"/>
  <c r="L181" i="16"/>
  <c r="M201" i="17"/>
  <c r="L181" i="17"/>
  <c r="L212" i="17" l="1"/>
  <c r="L184" i="17" s="1"/>
  <c r="L229" i="17" s="1"/>
  <c r="L243" i="17" s="1"/>
  <c r="L248" i="17" s="1"/>
  <c r="L249" i="17" s="1"/>
  <c r="L266" i="17" s="1"/>
  <c r="L268" i="17" s="1"/>
  <c r="L226" i="17"/>
  <c r="L240" i="17" s="1"/>
  <c r="L228" i="17"/>
  <c r="L242" i="17" s="1"/>
  <c r="L213" i="16"/>
  <c r="L164" i="16" s="1"/>
  <c r="L167" i="16" s="1"/>
  <c r="L189" i="16"/>
  <c r="M200" i="16"/>
  <c r="M204" i="16" s="1"/>
  <c r="M163" i="16" s="1"/>
  <c r="L185" i="16"/>
  <c r="L186" i="16" s="1"/>
  <c r="M203" i="17"/>
  <c r="L213" i="17"/>
  <c r="L164" i="17" s="1"/>
  <c r="L167" i="17" s="1"/>
  <c r="M200" i="17"/>
  <c r="L189" i="17"/>
  <c r="L185" i="17" l="1"/>
  <c r="L186" i="17" s="1"/>
  <c r="L225" i="17"/>
  <c r="L239" i="17" s="1"/>
  <c r="L244" i="17" s="1"/>
  <c r="L259" i="17" s="1"/>
  <c r="L261" i="17" s="1"/>
  <c r="M204" i="17"/>
  <c r="M163" i="17" s="1"/>
  <c r="L170" i="16"/>
  <c r="L171" i="16" s="1"/>
  <c r="M158" i="16"/>
  <c r="M161" i="16" s="1"/>
  <c r="M191" i="16" s="1"/>
  <c r="M206" i="16" s="1"/>
  <c r="M209" i="16" s="1"/>
  <c r="M158" i="17"/>
  <c r="L170" i="17"/>
  <c r="L171" i="17" s="1"/>
  <c r="L262" i="17" s="1"/>
  <c r="L263" i="17" l="1"/>
  <c r="M161" i="17"/>
  <c r="M191" i="17" s="1"/>
  <c r="M206" i="17" s="1"/>
  <c r="M209" i="17" s="1"/>
  <c r="M210" i="16" l="1"/>
  <c r="M182" i="16" s="1"/>
  <c r="N201" i="16" s="1"/>
  <c r="M181" i="16"/>
  <c r="M210" i="17"/>
  <c r="M182" i="17" s="1"/>
  <c r="M227" i="17" l="1"/>
  <c r="M241" i="17" s="1"/>
  <c r="M211" i="17"/>
  <c r="M183" i="17" s="1"/>
  <c r="M189" i="16"/>
  <c r="N200" i="16"/>
  <c r="M211" i="16"/>
  <c r="M183" i="16" s="1"/>
  <c r="N202" i="16" s="1"/>
  <c r="N201" i="17"/>
  <c r="M181" i="17"/>
  <c r="M212" i="17" l="1"/>
  <c r="M184" i="17" s="1"/>
  <c r="M229" i="17" s="1"/>
  <c r="M243" i="17" s="1"/>
  <c r="M228" i="17"/>
  <c r="M242" i="17" s="1"/>
  <c r="M226" i="17"/>
  <c r="M240" i="17" s="1"/>
  <c r="N202" i="17"/>
  <c r="M212" i="16"/>
  <c r="M184" i="16" s="1"/>
  <c r="N203" i="16" s="1"/>
  <c r="N204" i="16" s="1"/>
  <c r="N163" i="16" s="1"/>
  <c r="M189" i="17"/>
  <c r="N200" i="17"/>
  <c r="M185" i="17" l="1"/>
  <c r="M186" i="17" s="1"/>
  <c r="M213" i="17"/>
  <c r="M164" i="17" s="1"/>
  <c r="M167" i="17" s="1"/>
  <c r="N158" i="17" s="1"/>
  <c r="N203" i="17"/>
  <c r="N204" i="17" s="1"/>
  <c r="N163" i="17" s="1"/>
  <c r="M225" i="17"/>
  <c r="M239" i="17" s="1"/>
  <c r="M244" i="17" s="1"/>
  <c r="M259" i="17" s="1"/>
  <c r="M261" i="17" s="1"/>
  <c r="M185" i="16"/>
  <c r="M186" i="16" s="1"/>
  <c r="M213" i="16"/>
  <c r="M164" i="16" s="1"/>
  <c r="M167" i="16" s="1"/>
  <c r="N161" i="17"/>
  <c r="N191" i="17" s="1"/>
  <c r="M170" i="17" l="1"/>
  <c r="M171" i="17" s="1"/>
  <c r="M262" i="17" s="1"/>
  <c r="N206" i="17"/>
  <c r="N209" i="17" s="1"/>
  <c r="M263" i="17"/>
  <c r="M170" i="16"/>
  <c r="M171" i="16" s="1"/>
  <c r="N158" i="16"/>
  <c r="N161" i="16" s="1"/>
  <c r="N191" i="16" s="1"/>
  <c r="N206" i="16" s="1"/>
  <c r="N209" i="16" s="1"/>
  <c r="N210" i="17" l="1"/>
  <c r="N182" i="17" s="1"/>
  <c r="N210" i="16"/>
  <c r="N182" i="16" s="1"/>
  <c r="O201" i="16" s="1"/>
  <c r="N181" i="17"/>
  <c r="N211" i="16" l="1"/>
  <c r="N183" i="16" s="1"/>
  <c r="O202" i="16" s="1"/>
  <c r="N226" i="17"/>
  <c r="N240" i="17" s="1"/>
  <c r="N227" i="17"/>
  <c r="N241" i="17" s="1"/>
  <c r="O201" i="17"/>
  <c r="N211" i="17"/>
  <c r="N212" i="16"/>
  <c r="N184" i="16" s="1"/>
  <c r="O203" i="16" s="1"/>
  <c r="N181" i="16"/>
  <c r="O200" i="17"/>
  <c r="N189" i="17"/>
  <c r="N225" i="17" l="1"/>
  <c r="N239" i="17" s="1"/>
  <c r="N183" i="17"/>
  <c r="N212" i="17"/>
  <c r="N184" i="17" s="1"/>
  <c r="N213" i="16"/>
  <c r="N164" i="16" s="1"/>
  <c r="N167" i="16" s="1"/>
  <c r="O200" i="16"/>
  <c r="N189" i="16"/>
  <c r="N185" i="16"/>
  <c r="N186" i="16" s="1"/>
  <c r="O204" i="16"/>
  <c r="O163" i="16" s="1"/>
  <c r="N213" i="17" l="1"/>
  <c r="N164" i="17" s="1"/>
  <c r="N167" i="17" s="1"/>
  <c r="N228" i="17"/>
  <c r="N242" i="17" s="1"/>
  <c r="O202" i="17"/>
  <c r="N185" i="17"/>
  <c r="N186" i="17" s="1"/>
  <c r="N229" i="17"/>
  <c r="N243" i="17" s="1"/>
  <c r="O203" i="17"/>
  <c r="N170" i="16"/>
  <c r="N171" i="16" s="1"/>
  <c r="O158" i="16"/>
  <c r="O161" i="16" s="1"/>
  <c r="O191" i="16" s="1"/>
  <c r="O206" i="16" s="1"/>
  <c r="O209" i="16" s="1"/>
  <c r="N244" i="17" l="1"/>
  <c r="N259" i="17" s="1"/>
  <c r="N261" i="17" s="1"/>
  <c r="O204" i="17"/>
  <c r="O158" i="17"/>
  <c r="O161" i="17" s="1"/>
  <c r="O191" i="17" s="1"/>
  <c r="N170" i="17"/>
  <c r="N171" i="17" s="1"/>
  <c r="N262" i="17" s="1"/>
  <c r="O210" i="16"/>
  <c r="O182" i="16" s="1"/>
  <c r="P201" i="16" s="1"/>
  <c r="N263" i="17" l="1"/>
  <c r="O163" i="17"/>
  <c r="O206" i="17"/>
  <c r="O209" i="17" s="1"/>
  <c r="O211" i="16"/>
  <c r="O183" i="16" s="1"/>
  <c r="P202" i="16" s="1"/>
  <c r="O181" i="16"/>
  <c r="O210" i="17" l="1"/>
  <c r="O182" i="17" s="1"/>
  <c r="O227" i="17" s="1"/>
  <c r="O241" i="17" s="1"/>
  <c r="O212" i="16"/>
  <c r="O184" i="16" s="1"/>
  <c r="P203" i="16" s="1"/>
  <c r="P204" i="16" s="1"/>
  <c r="O189" i="16"/>
  <c r="P200" i="16"/>
  <c r="O211" i="17" l="1"/>
  <c r="O183" i="17" s="1"/>
  <c r="O228" i="17" s="1"/>
  <c r="O242" i="17" s="1"/>
  <c r="O181" i="17"/>
  <c r="P201" i="17"/>
  <c r="O213" i="16"/>
  <c r="O164" i="16" s="1"/>
  <c r="O167" i="16" s="1"/>
  <c r="P163" i="16"/>
  <c r="O185" i="16"/>
  <c r="O186" i="16" s="1"/>
  <c r="O212" i="17"/>
  <c r="O184" i="17" s="1"/>
  <c r="O226" i="17" l="1"/>
  <c r="O240" i="17" s="1"/>
  <c r="O189" i="17"/>
  <c r="O225" i="17" s="1"/>
  <c r="O239" i="17" s="1"/>
  <c r="P200" i="17"/>
  <c r="P202" i="17"/>
  <c r="O229" i="17"/>
  <c r="O243" i="17" s="1"/>
  <c r="P158" i="16"/>
  <c r="P161" i="16" s="1"/>
  <c r="P191" i="16" s="1"/>
  <c r="P206" i="16" s="1"/>
  <c r="P209" i="16" s="1"/>
  <c r="O170" i="16"/>
  <c r="O171" i="16" s="1"/>
  <c r="P203" i="17"/>
  <c r="P204" i="17" s="1"/>
  <c r="O213" i="17"/>
  <c r="O164" i="17" s="1"/>
  <c r="O167" i="17" s="1"/>
  <c r="O185" i="17"/>
  <c r="O186" i="17" s="1"/>
  <c r="O244" i="17" l="1"/>
  <c r="O259" i="17" s="1"/>
  <c r="O261" i="17" s="1"/>
  <c r="P163" i="17"/>
  <c r="P158" i="17"/>
  <c r="O170" i="17"/>
  <c r="O171" i="17" s="1"/>
  <c r="O262" i="17" s="1"/>
  <c r="O263" i="17" s="1"/>
  <c r="P210" i="16" l="1"/>
  <c r="P181" i="16"/>
  <c r="P161" i="17"/>
  <c r="P191" i="17" s="1"/>
  <c r="P206" i="17" s="1"/>
  <c r="P209" i="17" s="1"/>
  <c r="Q200" i="16" l="1"/>
  <c r="P189" i="16"/>
  <c r="P182" i="16"/>
  <c r="Q201" i="16" s="1"/>
  <c r="P211" i="16"/>
  <c r="P183" i="16" s="1"/>
  <c r="Q202" i="16" s="1"/>
  <c r="P210" i="17"/>
  <c r="P182" i="17" s="1"/>
  <c r="P227" i="17" l="1"/>
  <c r="P241" i="17" s="1"/>
  <c r="P211" i="17"/>
  <c r="P183" i="17" s="1"/>
  <c r="P212" i="16"/>
  <c r="P184" i="16" s="1"/>
  <c r="Q203" i="16" s="1"/>
  <c r="Q204" i="16" s="1"/>
  <c r="Q201" i="17"/>
  <c r="P181" i="17"/>
  <c r="P212" i="17" l="1"/>
  <c r="P184" i="17" s="1"/>
  <c r="P229" i="17" s="1"/>
  <c r="P243" i="17" s="1"/>
  <c r="P228" i="17"/>
  <c r="P242" i="17" s="1"/>
  <c r="P226" i="17"/>
  <c r="P240" i="17" s="1"/>
  <c r="Q202" i="17"/>
  <c r="P213" i="17"/>
  <c r="P164" i="17" s="1"/>
  <c r="P167" i="17" s="1"/>
  <c r="Q158" i="17" s="1"/>
  <c r="Q163" i="16"/>
  <c r="P185" i="16"/>
  <c r="P186" i="16" s="1"/>
  <c r="P213" i="16"/>
  <c r="P164" i="16" s="1"/>
  <c r="P167" i="16" s="1"/>
  <c r="Q203" i="17"/>
  <c r="P185" i="17"/>
  <c r="P186" i="17" s="1"/>
  <c r="P189" i="17"/>
  <c r="Q200" i="17"/>
  <c r="Q204" i="17" l="1"/>
  <c r="Q163" i="17" s="1"/>
  <c r="P170" i="17"/>
  <c r="P171" i="17" s="1"/>
  <c r="P262" i="17" s="1"/>
  <c r="P225" i="17"/>
  <c r="P239" i="17" s="1"/>
  <c r="P244" i="17" s="1"/>
  <c r="P259" i="17" s="1"/>
  <c r="P261" i="17" s="1"/>
  <c r="P170" i="16"/>
  <c r="P171" i="16" s="1"/>
  <c r="Q158" i="16"/>
  <c r="Q161" i="16" s="1"/>
  <c r="Q191" i="16" s="1"/>
  <c r="Q206" i="16" s="1"/>
  <c r="Q161" i="17"/>
  <c r="Q191" i="17" s="1"/>
  <c r="Q206" i="17" s="1"/>
  <c r="Q209" i="17" s="1"/>
  <c r="P263" i="17" l="1"/>
  <c r="Q210" i="16"/>
  <c r="Q182" i="16" s="1"/>
  <c r="Q210" i="17"/>
  <c r="Q182" i="17" s="1"/>
  <c r="Q227" i="17" s="1"/>
  <c r="Q241" i="17" s="1"/>
  <c r="Q211" i="16" l="1"/>
  <c r="Q183" i="16" s="1"/>
  <c r="Q212" i="16"/>
  <c r="Q184" i="16" s="1"/>
  <c r="Q185" i="16" s="1"/>
  <c r="Q186" i="16" s="1"/>
  <c r="Q181" i="16"/>
  <c r="Q189" i="16" s="1"/>
  <c r="Q211" i="17"/>
  <c r="Q183" i="17" s="1"/>
  <c r="Q228" i="17" s="1"/>
  <c r="Q242" i="17" s="1"/>
  <c r="Q181" i="17"/>
  <c r="Q226" i="17" s="1"/>
  <c r="Q240" i="17" s="1"/>
  <c r="Q212" i="17" l="1"/>
  <c r="Q184" i="17" s="1"/>
  <c r="Q229" i="17" s="1"/>
  <c r="Q243" i="17" s="1"/>
  <c r="Q213" i="16"/>
  <c r="Q164" i="16" s="1"/>
  <c r="Q167" i="16" s="1"/>
  <c r="Q170" i="16" s="1"/>
  <c r="Q171" i="16" s="1"/>
  <c r="Q189" i="17"/>
  <c r="Q225" i="17" s="1"/>
  <c r="Q239" i="17" s="1"/>
  <c r="Q244" i="17" s="1"/>
  <c r="Q259" i="17" s="1"/>
  <c r="Q261" i="17" s="1"/>
  <c r="Q213" i="17"/>
  <c r="Q164" i="17" s="1"/>
  <c r="Q167" i="17" s="1"/>
  <c r="Q170" i="17" s="1"/>
  <c r="Q171" i="17" s="1"/>
  <c r="Q262" i="17" s="1"/>
  <c r="Q185" i="17" l="1"/>
  <c r="Q186" i="17" s="1"/>
  <c r="Q263" i="17"/>
  <c r="M32" i="19" l="1"/>
  <c r="J59" i="19"/>
  <c r="K59" i="19"/>
  <c r="L59" i="19"/>
  <c r="M59" i="19"/>
  <c r="N59" i="19"/>
  <c r="O59" i="19"/>
  <c r="P59" i="19"/>
  <c r="Q59" i="19"/>
  <c r="J60" i="19"/>
  <c r="K60" i="19"/>
  <c r="L60" i="19"/>
  <c r="M60" i="19"/>
  <c r="N60" i="19"/>
  <c r="O60" i="19"/>
  <c r="P60" i="19"/>
  <c r="Q60" i="19"/>
  <c r="J62" i="19"/>
  <c r="K62" i="19"/>
  <c r="L62" i="19"/>
  <c r="M62" i="19"/>
  <c r="N62" i="19"/>
  <c r="O62" i="19"/>
  <c r="P62" i="19"/>
  <c r="Q62" i="19"/>
  <c r="J63" i="19"/>
  <c r="K63" i="19"/>
  <c r="L63" i="19"/>
  <c r="M63" i="19"/>
  <c r="N63" i="19"/>
  <c r="O63" i="19"/>
  <c r="P63" i="19"/>
  <c r="Q63" i="19"/>
  <c r="J64" i="19"/>
  <c r="K64" i="19"/>
  <c r="L64" i="19"/>
  <c r="M64" i="19"/>
  <c r="N64" i="19"/>
  <c r="O64" i="19"/>
  <c r="P64" i="19"/>
  <c r="Q64" i="19"/>
  <c r="J65" i="19"/>
  <c r="K65" i="19"/>
  <c r="L65" i="19"/>
  <c r="M65" i="19"/>
  <c r="N65" i="19"/>
  <c r="O65" i="19"/>
  <c r="P65" i="19"/>
  <c r="Q65" i="19"/>
  <c r="J119" i="19"/>
  <c r="K119" i="19"/>
  <c r="L119" i="19"/>
  <c r="M119" i="19"/>
  <c r="N119" i="19"/>
  <c r="O119" i="19"/>
  <c r="P119" i="19"/>
  <c r="Q119" i="19"/>
  <c r="J123" i="19"/>
  <c r="K123" i="19"/>
  <c r="L123" i="19"/>
  <c r="M123" i="19"/>
  <c r="N123" i="19"/>
  <c r="O123" i="19"/>
  <c r="P123" i="19"/>
  <c r="Q123" i="19"/>
  <c r="J127" i="19"/>
  <c r="K127" i="19"/>
  <c r="L127" i="19"/>
  <c r="M127" i="19"/>
  <c r="N127" i="19"/>
  <c r="O127" i="19"/>
  <c r="P127" i="19"/>
  <c r="Q127" i="19"/>
  <c r="J135" i="19"/>
  <c r="K135" i="19"/>
  <c r="L135" i="19"/>
  <c r="M135" i="19"/>
  <c r="N135" i="19"/>
  <c r="O135" i="19"/>
  <c r="P135" i="19"/>
  <c r="Q135" i="19"/>
  <c r="J137" i="19"/>
  <c r="K137" i="19"/>
  <c r="L137" i="19"/>
  <c r="M137" i="19"/>
  <c r="N137" i="19"/>
  <c r="O137" i="19"/>
  <c r="P137" i="19"/>
  <c r="Q137" i="19"/>
  <c r="J139" i="19"/>
  <c r="K139" i="19"/>
  <c r="L139" i="19"/>
  <c r="M139" i="19"/>
  <c r="N139" i="19"/>
  <c r="O139" i="19"/>
  <c r="P139" i="19"/>
  <c r="Q139" i="19"/>
  <c r="J140" i="19"/>
  <c r="K140" i="19"/>
  <c r="L140" i="19"/>
  <c r="M140" i="19"/>
  <c r="N140" i="19"/>
  <c r="O140" i="19"/>
  <c r="P140" i="19"/>
  <c r="Q140" i="19"/>
  <c r="J141" i="19"/>
  <c r="K141" i="19"/>
  <c r="L141" i="19"/>
  <c r="M141" i="19"/>
  <c r="N141" i="19"/>
  <c r="O141" i="19"/>
  <c r="P141" i="19"/>
  <c r="Q141" i="19"/>
  <c r="J150" i="19"/>
  <c r="K150" i="19"/>
  <c r="L150" i="19"/>
  <c r="M150" i="19"/>
  <c r="N150" i="19"/>
  <c r="O150" i="19"/>
  <c r="P150" i="19"/>
  <c r="Q150" i="19"/>
  <c r="J152" i="19"/>
  <c r="K152" i="19"/>
  <c r="L152" i="19"/>
  <c r="J154" i="19"/>
  <c r="K154" i="19"/>
  <c r="L154" i="19"/>
  <c r="M154" i="19"/>
  <c r="N154" i="19"/>
  <c r="O154" i="19"/>
  <c r="P154" i="19"/>
  <c r="Q154" i="19"/>
  <c r="J156" i="19"/>
  <c r="K156" i="19"/>
  <c r="L156" i="19"/>
  <c r="M156" i="19"/>
  <c r="N156" i="19"/>
  <c r="O156" i="19"/>
  <c r="P156" i="19"/>
  <c r="Q156" i="19"/>
  <c r="K158" i="19"/>
  <c r="L158" i="19"/>
  <c r="M158" i="19"/>
  <c r="N158" i="19"/>
  <c r="O158" i="19"/>
  <c r="P158" i="19"/>
  <c r="Q158" i="19"/>
  <c r="J159" i="19"/>
  <c r="K159" i="19"/>
  <c r="L159" i="19"/>
  <c r="M159" i="19"/>
  <c r="N159" i="19"/>
  <c r="O159" i="19"/>
  <c r="P159" i="19"/>
  <c r="Q159" i="19"/>
  <c r="J161" i="19"/>
  <c r="K161" i="19"/>
  <c r="L161" i="19"/>
  <c r="M161" i="19"/>
  <c r="N161" i="19"/>
  <c r="O161" i="19"/>
  <c r="P161" i="19"/>
  <c r="Q161" i="19"/>
  <c r="K163" i="19"/>
  <c r="L163" i="19"/>
  <c r="M163" i="19"/>
  <c r="N163" i="19"/>
  <c r="O163" i="19"/>
  <c r="P163" i="19"/>
  <c r="Q163" i="19"/>
  <c r="J164" i="19"/>
  <c r="K164" i="19"/>
  <c r="L164" i="19"/>
  <c r="M164" i="19"/>
  <c r="N164" i="19"/>
  <c r="O164" i="19"/>
  <c r="P164" i="19"/>
  <c r="Q164" i="19"/>
  <c r="J167" i="19"/>
  <c r="K167" i="19"/>
  <c r="L167" i="19"/>
  <c r="M167" i="19"/>
  <c r="N167" i="19"/>
  <c r="O167" i="19"/>
  <c r="P167" i="19"/>
  <c r="Q167" i="19"/>
  <c r="J170" i="19"/>
  <c r="K170" i="19"/>
  <c r="L170" i="19"/>
  <c r="M170" i="19"/>
  <c r="N170" i="19"/>
  <c r="O170" i="19"/>
  <c r="P170" i="19"/>
  <c r="Q170" i="19"/>
  <c r="J171" i="19"/>
  <c r="K171" i="19"/>
  <c r="L171" i="19"/>
  <c r="M171" i="19"/>
  <c r="N171" i="19"/>
  <c r="O171" i="19"/>
  <c r="P171" i="19"/>
  <c r="Q171" i="19"/>
  <c r="J181" i="19"/>
  <c r="K181" i="19"/>
  <c r="L181" i="19"/>
  <c r="M181" i="19"/>
  <c r="N181" i="19"/>
  <c r="O181" i="19"/>
  <c r="P181" i="19"/>
  <c r="Q181" i="19"/>
  <c r="J182" i="19"/>
  <c r="K182" i="19"/>
  <c r="L182" i="19"/>
  <c r="M182" i="19"/>
  <c r="N182" i="19"/>
  <c r="O182" i="19"/>
  <c r="P182" i="19"/>
  <c r="Q182" i="19"/>
  <c r="J183" i="19"/>
  <c r="K183" i="19"/>
  <c r="L183" i="19"/>
  <c r="M183" i="19"/>
  <c r="N183" i="19"/>
  <c r="O183" i="19"/>
  <c r="P183" i="19"/>
  <c r="Q183" i="19"/>
  <c r="J184" i="19"/>
  <c r="K184" i="19"/>
  <c r="L184" i="19"/>
  <c r="M184" i="19"/>
  <c r="N184" i="19"/>
  <c r="O184" i="19"/>
  <c r="P184" i="19"/>
  <c r="Q184" i="19"/>
  <c r="J185" i="19"/>
  <c r="K185" i="19"/>
  <c r="L185" i="19"/>
  <c r="M185" i="19"/>
  <c r="N185" i="19"/>
  <c r="O185" i="19"/>
  <c r="P185" i="19"/>
  <c r="Q185" i="19"/>
  <c r="J186" i="19"/>
  <c r="K186" i="19"/>
  <c r="L186" i="19"/>
  <c r="M186" i="19"/>
  <c r="N186" i="19"/>
  <c r="O186" i="19"/>
  <c r="P186" i="19"/>
  <c r="Q186" i="19"/>
  <c r="J189" i="19"/>
  <c r="K189" i="19"/>
  <c r="L189" i="19"/>
  <c r="M189" i="19"/>
  <c r="N189" i="19"/>
  <c r="O189" i="19"/>
  <c r="P189" i="19"/>
  <c r="Q189" i="19"/>
  <c r="J191" i="19"/>
  <c r="K191" i="19"/>
  <c r="L191" i="19"/>
  <c r="M191" i="19"/>
  <c r="N191" i="19"/>
  <c r="O191" i="19"/>
  <c r="P191" i="19"/>
  <c r="Q191" i="19"/>
  <c r="K200" i="19"/>
  <c r="L200" i="19"/>
  <c r="M200" i="19"/>
  <c r="N200" i="19"/>
  <c r="O200" i="19"/>
  <c r="P200" i="19"/>
  <c r="Q200" i="19"/>
  <c r="K201" i="19"/>
  <c r="L201" i="19"/>
  <c r="M201" i="19"/>
  <c r="N201" i="19"/>
  <c r="O201" i="19"/>
  <c r="P201" i="19"/>
  <c r="Q201" i="19"/>
  <c r="K202" i="19"/>
  <c r="L202" i="19"/>
  <c r="M202" i="19"/>
  <c r="N202" i="19"/>
  <c r="O202" i="19"/>
  <c r="P202" i="19"/>
  <c r="Q202" i="19"/>
  <c r="K203" i="19"/>
  <c r="L203" i="19"/>
  <c r="M203" i="19"/>
  <c r="N203" i="19"/>
  <c r="O203" i="19"/>
  <c r="P203" i="19"/>
  <c r="Q203" i="19"/>
  <c r="K204" i="19"/>
  <c r="L204" i="19"/>
  <c r="M204" i="19"/>
  <c r="N204" i="19"/>
  <c r="O204" i="19"/>
  <c r="P204" i="19"/>
  <c r="Q204" i="19"/>
  <c r="J206" i="19"/>
  <c r="K206" i="19"/>
  <c r="L206" i="19"/>
  <c r="M206" i="19"/>
  <c r="N206" i="19"/>
  <c r="O206" i="19"/>
  <c r="P206" i="19"/>
  <c r="Q206" i="19"/>
  <c r="J209" i="19"/>
  <c r="K209" i="19"/>
  <c r="L209" i="19"/>
  <c r="M209" i="19"/>
  <c r="N209" i="19"/>
  <c r="O209" i="19"/>
  <c r="P209" i="19"/>
  <c r="Q209" i="19"/>
  <c r="J210" i="19"/>
  <c r="K210" i="19"/>
  <c r="L210" i="19"/>
  <c r="M210" i="19"/>
  <c r="N210" i="19"/>
  <c r="O210" i="19"/>
  <c r="P210" i="19"/>
  <c r="Q210" i="19"/>
  <c r="J211" i="19"/>
  <c r="K211" i="19"/>
  <c r="L211" i="19"/>
  <c r="M211" i="19"/>
  <c r="N211" i="19"/>
  <c r="O211" i="19"/>
  <c r="P211" i="19"/>
  <c r="Q211" i="19"/>
  <c r="J212" i="19"/>
  <c r="K212" i="19"/>
  <c r="L212" i="19"/>
  <c r="M212" i="19"/>
  <c r="N212" i="19"/>
  <c r="O212" i="19"/>
  <c r="P212" i="19"/>
  <c r="Q212" i="19"/>
  <c r="J213" i="19"/>
  <c r="K213" i="19"/>
  <c r="L213" i="19"/>
  <c r="M213" i="19"/>
  <c r="N213" i="19"/>
  <c r="O213" i="19"/>
  <c r="P213" i="19"/>
  <c r="Q213" i="19"/>
  <c r="J225" i="19"/>
  <c r="K225" i="19"/>
  <c r="L225" i="19"/>
  <c r="M225" i="19"/>
  <c r="N225" i="19"/>
  <c r="O225" i="19"/>
  <c r="P225" i="19"/>
  <c r="Q225" i="19"/>
  <c r="J226" i="19"/>
  <c r="K226" i="19"/>
  <c r="L226" i="19"/>
  <c r="M226" i="19"/>
  <c r="N226" i="19"/>
  <c r="O226" i="19"/>
  <c r="P226" i="19"/>
  <c r="Q226" i="19"/>
  <c r="J227" i="19"/>
  <c r="K227" i="19"/>
  <c r="L227" i="19"/>
  <c r="M227" i="19"/>
  <c r="N227" i="19"/>
  <c r="O227" i="19"/>
  <c r="P227" i="19"/>
  <c r="Q227" i="19"/>
  <c r="J228" i="19"/>
  <c r="K228" i="19"/>
  <c r="L228" i="19"/>
  <c r="M228" i="19"/>
  <c r="N228" i="19"/>
  <c r="O228" i="19"/>
  <c r="P228" i="19"/>
  <c r="Q228" i="19"/>
  <c r="J229" i="19"/>
  <c r="K229" i="19"/>
  <c r="L229" i="19"/>
  <c r="M229" i="19"/>
  <c r="N229" i="19"/>
  <c r="O229" i="19"/>
  <c r="P229" i="19"/>
  <c r="Q229" i="19"/>
  <c r="J239" i="19"/>
  <c r="K239" i="19"/>
  <c r="L239" i="19"/>
  <c r="M239" i="19"/>
  <c r="N239" i="19"/>
  <c r="O239" i="19"/>
  <c r="P239" i="19"/>
  <c r="Q239" i="19"/>
  <c r="J240" i="19"/>
  <c r="K240" i="19"/>
  <c r="L240" i="19"/>
  <c r="M240" i="19"/>
  <c r="N240" i="19"/>
  <c r="O240" i="19"/>
  <c r="P240" i="19"/>
  <c r="Q240" i="19"/>
  <c r="J241" i="19"/>
  <c r="K241" i="19"/>
  <c r="L241" i="19"/>
  <c r="M241" i="19"/>
  <c r="N241" i="19"/>
  <c r="O241" i="19"/>
  <c r="P241" i="19"/>
  <c r="Q241" i="19"/>
  <c r="J242" i="19"/>
  <c r="K242" i="19"/>
  <c r="L242" i="19"/>
  <c r="M242" i="19"/>
  <c r="N242" i="19"/>
  <c r="O242" i="19"/>
  <c r="P242" i="19"/>
  <c r="Q242" i="19"/>
  <c r="J243" i="19"/>
  <c r="K243" i="19"/>
  <c r="L243" i="19"/>
  <c r="M243" i="19"/>
  <c r="N243" i="19"/>
  <c r="O243" i="19"/>
  <c r="P243" i="19"/>
  <c r="Q243" i="19"/>
  <c r="J244" i="19"/>
  <c r="K244" i="19"/>
  <c r="L244" i="19"/>
  <c r="M244" i="19"/>
  <c r="N244" i="19"/>
  <c r="O244" i="19"/>
  <c r="P244" i="19"/>
  <c r="Q244" i="19"/>
  <c r="J248" i="19"/>
  <c r="K248" i="19"/>
  <c r="L248" i="19"/>
  <c r="J249" i="19"/>
  <c r="K249" i="19"/>
  <c r="L249" i="19"/>
  <c r="J259" i="19"/>
  <c r="K259" i="19"/>
  <c r="L259" i="19"/>
  <c r="M259" i="19"/>
  <c r="N259" i="19"/>
  <c r="O259" i="19"/>
  <c r="P259" i="19"/>
  <c r="Q259" i="19"/>
  <c r="J261" i="19"/>
  <c r="K261" i="19"/>
  <c r="L261" i="19"/>
  <c r="M261" i="19"/>
  <c r="N261" i="19"/>
  <c r="O261" i="19"/>
  <c r="P261" i="19"/>
  <c r="Q261" i="19"/>
  <c r="J262" i="19"/>
  <c r="K262" i="19"/>
  <c r="L262" i="19"/>
  <c r="M262" i="19"/>
  <c r="N262" i="19"/>
  <c r="O262" i="19"/>
  <c r="P262" i="19"/>
  <c r="Q262" i="19"/>
  <c r="J263" i="19"/>
  <c r="K263" i="19"/>
  <c r="L263" i="19"/>
  <c r="M263" i="19"/>
  <c r="N263" i="19"/>
  <c r="O263" i="19"/>
  <c r="P263" i="19"/>
  <c r="Q263" i="19"/>
  <c r="J266" i="19"/>
  <c r="K266" i="19"/>
  <c r="L266" i="19"/>
  <c r="J268" i="19"/>
  <c r="K268" i="19"/>
  <c r="L268" i="19"/>
  <c r="M32" i="20"/>
  <c r="J59" i="20"/>
  <c r="K59" i="20"/>
  <c r="L59" i="20"/>
  <c r="M59" i="20"/>
  <c r="N59" i="20"/>
  <c r="O59" i="20"/>
  <c r="P59" i="20"/>
  <c r="Q59" i="20"/>
  <c r="J60" i="20"/>
  <c r="K60" i="20"/>
  <c r="L60" i="20"/>
  <c r="M60" i="20"/>
  <c r="N60" i="20"/>
  <c r="O60" i="20"/>
  <c r="P60" i="20"/>
  <c r="Q60" i="20"/>
  <c r="J62" i="20"/>
  <c r="K62" i="20"/>
  <c r="L62" i="20"/>
  <c r="M62" i="20"/>
  <c r="N62" i="20"/>
  <c r="O62" i="20"/>
  <c r="P62" i="20"/>
  <c r="Q62" i="20"/>
  <c r="J63" i="20"/>
  <c r="K63" i="20"/>
  <c r="L63" i="20"/>
  <c r="M63" i="20"/>
  <c r="N63" i="20"/>
  <c r="O63" i="20"/>
  <c r="P63" i="20"/>
  <c r="Q63" i="20"/>
  <c r="J64" i="20"/>
  <c r="K64" i="20"/>
  <c r="L64" i="20"/>
  <c r="M64" i="20"/>
  <c r="N64" i="20"/>
  <c r="O64" i="20"/>
  <c r="P64" i="20"/>
  <c r="Q64" i="20"/>
  <c r="J65" i="20"/>
  <c r="K65" i="20"/>
  <c r="L65" i="20"/>
  <c r="M65" i="20"/>
  <c r="N65" i="20"/>
  <c r="O65" i="20"/>
  <c r="P65" i="20"/>
  <c r="Q65" i="20"/>
  <c r="J119" i="20"/>
  <c r="K119" i="20"/>
  <c r="L119" i="20"/>
  <c r="M119" i="20"/>
  <c r="N119" i="20"/>
  <c r="O119" i="20"/>
  <c r="P119" i="20"/>
  <c r="Q119" i="20"/>
  <c r="J123" i="20"/>
  <c r="K123" i="20"/>
  <c r="L123" i="20"/>
  <c r="M123" i="20"/>
  <c r="N123" i="20"/>
  <c r="O123" i="20"/>
  <c r="P123" i="20"/>
  <c r="Q123" i="20"/>
  <c r="J127" i="20"/>
  <c r="K127" i="20"/>
  <c r="L127" i="20"/>
  <c r="M127" i="20"/>
  <c r="N127" i="20"/>
  <c r="O127" i="20"/>
  <c r="P127" i="20"/>
  <c r="Q127" i="20"/>
  <c r="J135" i="20"/>
  <c r="K135" i="20"/>
  <c r="L135" i="20"/>
  <c r="M135" i="20"/>
  <c r="N135" i="20"/>
  <c r="O135" i="20"/>
  <c r="P135" i="20"/>
  <c r="Q135" i="20"/>
  <c r="J137" i="20"/>
  <c r="K137" i="20"/>
  <c r="L137" i="20"/>
  <c r="M137" i="20"/>
  <c r="N137" i="20"/>
  <c r="O137" i="20"/>
  <c r="P137" i="20"/>
  <c r="Q137" i="20"/>
  <c r="J139" i="20"/>
  <c r="K139" i="20"/>
  <c r="L139" i="20"/>
  <c r="M139" i="20"/>
  <c r="N139" i="20"/>
  <c r="O139" i="20"/>
  <c r="P139" i="20"/>
  <c r="Q139" i="20"/>
  <c r="J140" i="20"/>
  <c r="K140" i="20"/>
  <c r="L140" i="20"/>
  <c r="M140" i="20"/>
  <c r="N140" i="20"/>
  <c r="O140" i="20"/>
  <c r="P140" i="20"/>
  <c r="Q140" i="20"/>
  <c r="J141" i="20"/>
  <c r="K141" i="20"/>
  <c r="L141" i="20"/>
  <c r="M141" i="20"/>
  <c r="N141" i="20"/>
  <c r="O141" i="20"/>
  <c r="P141" i="20"/>
  <c r="Q141" i="20"/>
  <c r="J150" i="20"/>
  <c r="K150" i="20"/>
  <c r="L150" i="20"/>
  <c r="M150" i="20"/>
  <c r="N150" i="20"/>
  <c r="O150" i="20"/>
  <c r="P150" i="20"/>
  <c r="Q150" i="20"/>
  <c r="J152" i="20"/>
  <c r="K152" i="20"/>
  <c r="L152" i="20"/>
  <c r="J154" i="20"/>
  <c r="K154" i="20"/>
  <c r="L154" i="20"/>
  <c r="M154" i="20"/>
  <c r="N154" i="20"/>
  <c r="O154" i="20"/>
  <c r="P154" i="20"/>
  <c r="Q154" i="20"/>
  <c r="J156" i="20"/>
  <c r="K156" i="20"/>
  <c r="L156" i="20"/>
  <c r="M156" i="20"/>
  <c r="N156" i="20"/>
  <c r="O156" i="20"/>
  <c r="P156" i="20"/>
  <c r="Q156" i="20"/>
  <c r="K158" i="20"/>
  <c r="L158" i="20"/>
  <c r="M158" i="20"/>
  <c r="N158" i="20"/>
  <c r="O158" i="20"/>
  <c r="P158" i="20"/>
  <c r="Q158" i="20"/>
  <c r="J159" i="20"/>
  <c r="K159" i="20"/>
  <c r="L159" i="20"/>
  <c r="M159" i="20"/>
  <c r="N159" i="20"/>
  <c r="O159" i="20"/>
  <c r="P159" i="20"/>
  <c r="Q159" i="20"/>
  <c r="J161" i="20"/>
  <c r="K161" i="20"/>
  <c r="L161" i="20"/>
  <c r="M161" i="20"/>
  <c r="N161" i="20"/>
  <c r="O161" i="20"/>
  <c r="P161" i="20"/>
  <c r="Q161" i="20"/>
  <c r="K163" i="20"/>
  <c r="L163" i="20"/>
  <c r="M163" i="20"/>
  <c r="N163" i="20"/>
  <c r="O163" i="20"/>
  <c r="P163" i="20"/>
  <c r="Q163" i="20"/>
  <c r="J164" i="20"/>
  <c r="K164" i="20"/>
  <c r="L164" i="20"/>
  <c r="M164" i="20"/>
  <c r="N164" i="20"/>
  <c r="O164" i="20"/>
  <c r="P164" i="20"/>
  <c r="Q164" i="20"/>
  <c r="J167" i="20"/>
  <c r="K167" i="20"/>
  <c r="L167" i="20"/>
  <c r="M167" i="20"/>
  <c r="N167" i="20"/>
  <c r="O167" i="20"/>
  <c r="P167" i="20"/>
  <c r="Q167" i="20"/>
  <c r="J170" i="20"/>
  <c r="K170" i="20"/>
  <c r="L170" i="20"/>
  <c r="M170" i="20"/>
  <c r="N170" i="20"/>
  <c r="O170" i="20"/>
  <c r="P170" i="20"/>
  <c r="Q170" i="20"/>
  <c r="J171" i="20"/>
  <c r="K171" i="20"/>
  <c r="L171" i="20"/>
  <c r="M171" i="20"/>
  <c r="N171" i="20"/>
  <c r="O171" i="20"/>
  <c r="P171" i="20"/>
  <c r="Q171" i="20"/>
  <c r="J181" i="20"/>
  <c r="K181" i="20"/>
  <c r="L181" i="20"/>
  <c r="M181" i="20"/>
  <c r="N181" i="20"/>
  <c r="O181" i="20"/>
  <c r="P181" i="20"/>
  <c r="Q181" i="20"/>
  <c r="J182" i="20"/>
  <c r="K182" i="20"/>
  <c r="L182" i="20"/>
  <c r="M182" i="20"/>
  <c r="N182" i="20"/>
  <c r="O182" i="20"/>
  <c r="P182" i="20"/>
  <c r="Q182" i="20"/>
  <c r="J183" i="20"/>
  <c r="K183" i="20"/>
  <c r="L183" i="20"/>
  <c r="M183" i="20"/>
  <c r="N183" i="20"/>
  <c r="O183" i="20"/>
  <c r="P183" i="20"/>
  <c r="Q183" i="20"/>
  <c r="J184" i="20"/>
  <c r="K184" i="20"/>
  <c r="L184" i="20"/>
  <c r="M184" i="20"/>
  <c r="N184" i="20"/>
  <c r="O184" i="20"/>
  <c r="P184" i="20"/>
  <c r="Q184" i="20"/>
  <c r="J185" i="20"/>
  <c r="K185" i="20"/>
  <c r="L185" i="20"/>
  <c r="M185" i="20"/>
  <c r="N185" i="20"/>
  <c r="O185" i="20"/>
  <c r="P185" i="20"/>
  <c r="Q185" i="20"/>
  <c r="J186" i="20"/>
  <c r="K186" i="20"/>
  <c r="L186" i="20"/>
  <c r="M186" i="20"/>
  <c r="N186" i="20"/>
  <c r="O186" i="20"/>
  <c r="P186" i="20"/>
  <c r="Q186" i="20"/>
  <c r="J189" i="20"/>
  <c r="K189" i="20"/>
  <c r="L189" i="20"/>
  <c r="M189" i="20"/>
  <c r="N189" i="20"/>
  <c r="O189" i="20"/>
  <c r="P189" i="20"/>
  <c r="Q189" i="20"/>
  <c r="J191" i="20"/>
  <c r="K191" i="20"/>
  <c r="L191" i="20"/>
  <c r="M191" i="20"/>
  <c r="N191" i="20"/>
  <c r="O191" i="20"/>
  <c r="P191" i="20"/>
  <c r="Q191" i="20"/>
  <c r="K200" i="20"/>
  <c r="L200" i="20"/>
  <c r="M200" i="20"/>
  <c r="N200" i="20"/>
  <c r="O200" i="20"/>
  <c r="P200" i="20"/>
  <c r="Q200" i="20"/>
  <c r="K201" i="20"/>
  <c r="L201" i="20"/>
  <c r="M201" i="20"/>
  <c r="N201" i="20"/>
  <c r="O201" i="20"/>
  <c r="P201" i="20"/>
  <c r="Q201" i="20"/>
  <c r="K202" i="20"/>
  <c r="L202" i="20"/>
  <c r="M202" i="20"/>
  <c r="N202" i="20"/>
  <c r="O202" i="20"/>
  <c r="P202" i="20"/>
  <c r="Q202" i="20"/>
  <c r="K203" i="20"/>
  <c r="L203" i="20"/>
  <c r="M203" i="20"/>
  <c r="N203" i="20"/>
  <c r="O203" i="20"/>
  <c r="P203" i="20"/>
  <c r="Q203" i="20"/>
  <c r="K204" i="20"/>
  <c r="L204" i="20"/>
  <c r="M204" i="20"/>
  <c r="N204" i="20"/>
  <c r="O204" i="20"/>
  <c r="P204" i="20"/>
  <c r="Q204" i="20"/>
  <c r="J206" i="20"/>
  <c r="K206" i="20"/>
  <c r="L206" i="20"/>
  <c r="M206" i="20"/>
  <c r="N206" i="20"/>
  <c r="O206" i="20"/>
  <c r="P206" i="20"/>
  <c r="Q206" i="20"/>
  <c r="J209" i="20"/>
  <c r="K209" i="20"/>
  <c r="L209" i="20"/>
  <c r="M209" i="20"/>
  <c r="N209" i="20"/>
  <c r="O209" i="20"/>
  <c r="P209" i="20"/>
  <c r="Q209" i="20"/>
  <c r="J210" i="20"/>
  <c r="K210" i="20"/>
  <c r="L210" i="20"/>
  <c r="M210" i="20"/>
  <c r="N210" i="20"/>
  <c r="O210" i="20"/>
  <c r="P210" i="20"/>
  <c r="Q210" i="20"/>
  <c r="J211" i="20"/>
  <c r="K211" i="20"/>
  <c r="L211" i="20"/>
  <c r="M211" i="20"/>
  <c r="N211" i="20"/>
  <c r="O211" i="20"/>
  <c r="P211" i="20"/>
  <c r="Q211" i="20"/>
  <c r="J212" i="20"/>
  <c r="K212" i="20"/>
  <c r="L212" i="20"/>
  <c r="M212" i="20"/>
  <c r="N212" i="20"/>
  <c r="O212" i="20"/>
  <c r="P212" i="20"/>
  <c r="Q212" i="20"/>
  <c r="J213" i="20"/>
  <c r="K213" i="20"/>
  <c r="L213" i="20"/>
  <c r="M213" i="20"/>
  <c r="N213" i="20"/>
  <c r="O213" i="20"/>
  <c r="P213" i="20"/>
  <c r="Q213" i="20"/>
  <c r="J225" i="20"/>
  <c r="K225" i="20"/>
  <c r="L225" i="20"/>
  <c r="M225" i="20"/>
  <c r="N225" i="20"/>
  <c r="O225" i="20"/>
  <c r="P225" i="20"/>
  <c r="Q225" i="20"/>
  <c r="J226" i="20"/>
  <c r="K226" i="20"/>
  <c r="L226" i="20"/>
  <c r="M226" i="20"/>
  <c r="N226" i="20"/>
  <c r="O226" i="20"/>
  <c r="P226" i="20"/>
  <c r="Q226" i="20"/>
  <c r="J227" i="20"/>
  <c r="K227" i="20"/>
  <c r="L227" i="20"/>
  <c r="M227" i="20"/>
  <c r="N227" i="20"/>
  <c r="O227" i="20"/>
  <c r="P227" i="20"/>
  <c r="Q227" i="20"/>
  <c r="J228" i="20"/>
  <c r="K228" i="20"/>
  <c r="L228" i="20"/>
  <c r="M228" i="20"/>
  <c r="N228" i="20"/>
  <c r="O228" i="20"/>
  <c r="P228" i="20"/>
  <c r="Q228" i="20"/>
  <c r="J229" i="20"/>
  <c r="K229" i="20"/>
  <c r="L229" i="20"/>
  <c r="M229" i="20"/>
  <c r="N229" i="20"/>
  <c r="O229" i="20"/>
  <c r="P229" i="20"/>
  <c r="Q229" i="20"/>
  <c r="J239" i="20"/>
  <c r="K239" i="20"/>
  <c r="L239" i="20"/>
  <c r="M239" i="20"/>
  <c r="N239" i="20"/>
  <c r="O239" i="20"/>
  <c r="P239" i="20"/>
  <c r="Q239" i="20"/>
  <c r="J240" i="20"/>
  <c r="K240" i="20"/>
  <c r="L240" i="20"/>
  <c r="M240" i="20"/>
  <c r="N240" i="20"/>
  <c r="O240" i="20"/>
  <c r="P240" i="20"/>
  <c r="Q240" i="20"/>
  <c r="J241" i="20"/>
  <c r="K241" i="20"/>
  <c r="L241" i="20"/>
  <c r="M241" i="20"/>
  <c r="N241" i="20"/>
  <c r="O241" i="20"/>
  <c r="P241" i="20"/>
  <c r="Q241" i="20"/>
  <c r="J242" i="20"/>
  <c r="K242" i="20"/>
  <c r="L242" i="20"/>
  <c r="M242" i="20"/>
  <c r="N242" i="20"/>
  <c r="O242" i="20"/>
  <c r="P242" i="20"/>
  <c r="Q242" i="20"/>
  <c r="J243" i="20"/>
  <c r="K243" i="20"/>
  <c r="L243" i="20"/>
  <c r="M243" i="20"/>
  <c r="N243" i="20"/>
  <c r="O243" i="20"/>
  <c r="P243" i="20"/>
  <c r="Q243" i="20"/>
  <c r="J244" i="20"/>
  <c r="K244" i="20"/>
  <c r="L244" i="20"/>
  <c r="M244" i="20"/>
  <c r="N244" i="20"/>
  <c r="O244" i="20"/>
  <c r="P244" i="20"/>
  <c r="Q244" i="20"/>
  <c r="J248" i="20"/>
  <c r="K248" i="20"/>
  <c r="L248" i="20"/>
  <c r="J249" i="20"/>
  <c r="K249" i="20"/>
  <c r="L249" i="20"/>
  <c r="J259" i="20"/>
  <c r="K259" i="20"/>
  <c r="L259" i="20"/>
  <c r="M259" i="20"/>
  <c r="N259" i="20"/>
  <c r="O259" i="20"/>
  <c r="P259" i="20"/>
  <c r="Q259" i="20"/>
  <c r="J261" i="20"/>
  <c r="K261" i="20"/>
  <c r="L261" i="20"/>
  <c r="M261" i="20"/>
  <c r="N261" i="20"/>
  <c r="O261" i="20"/>
  <c r="P261" i="20"/>
  <c r="Q261" i="20"/>
  <c r="J262" i="20"/>
  <c r="K262" i="20"/>
  <c r="L262" i="20"/>
  <c r="M262" i="20"/>
  <c r="N262" i="20"/>
  <c r="O262" i="20"/>
  <c r="P262" i="20"/>
  <c r="Q262" i="20"/>
  <c r="J263" i="20"/>
  <c r="K263" i="20"/>
  <c r="L263" i="20"/>
  <c r="M263" i="20"/>
  <c r="N263" i="20"/>
  <c r="O263" i="20"/>
  <c r="P263" i="20"/>
  <c r="Q263" i="20"/>
  <c r="J266" i="20"/>
  <c r="K266" i="20"/>
  <c r="L266" i="20"/>
  <c r="J268" i="20"/>
  <c r="K268" i="20"/>
  <c r="L268" i="20"/>
  <c r="J279" i="20"/>
  <c r="K279" i="20"/>
  <c r="L279" i="20"/>
  <c r="M279" i="20"/>
  <c r="N279" i="20"/>
  <c r="O279" i="20"/>
  <c r="P279" i="20"/>
  <c r="Q279" i="20"/>
  <c r="J280" i="20"/>
  <c r="K280" i="20"/>
  <c r="L280" i="20"/>
  <c r="M280" i="20"/>
  <c r="N280" i="20"/>
  <c r="O280" i="20"/>
  <c r="P280" i="20"/>
  <c r="Q280" i="20"/>
  <c r="J281" i="20"/>
  <c r="K281" i="20"/>
  <c r="L281" i="20"/>
  <c r="M281" i="20"/>
  <c r="N281" i="20"/>
  <c r="O281" i="20"/>
  <c r="P281" i="20"/>
  <c r="Q281" i="20"/>
  <c r="I285" i="20"/>
  <c r="J285" i="20"/>
  <c r="K285" i="20"/>
  <c r="L285" i="20"/>
  <c r="M285" i="20"/>
  <c r="N285" i="20"/>
  <c r="O285" i="20"/>
  <c r="P285" i="20"/>
  <c r="Q285" i="20"/>
  <c r="J289" i="20"/>
  <c r="K289" i="20"/>
  <c r="L289" i="20"/>
  <c r="M289" i="20"/>
  <c r="N289" i="20"/>
  <c r="O289" i="20"/>
  <c r="P289" i="20"/>
  <c r="Q289" i="20"/>
  <c r="J290" i="20"/>
  <c r="K290" i="20"/>
  <c r="L290" i="20"/>
  <c r="M290" i="20"/>
  <c r="N290" i="20"/>
  <c r="O290" i="20"/>
  <c r="P290" i="20"/>
  <c r="Q290" i="20"/>
  <c r="J291" i="20"/>
  <c r="K291" i="20"/>
  <c r="L291" i="20"/>
  <c r="M291" i="20"/>
  <c r="N291" i="20"/>
  <c r="O291" i="20"/>
  <c r="P291" i="20"/>
  <c r="Q291" i="20"/>
  <c r="I294" i="20"/>
  <c r="J294" i="20"/>
  <c r="K294" i="20"/>
  <c r="L294" i="20"/>
  <c r="M294" i="20"/>
  <c r="N294" i="20"/>
  <c r="O294" i="20"/>
  <c r="P294" i="20"/>
  <c r="Q294" i="20"/>
  <c r="I295" i="20"/>
  <c r="J295" i="20"/>
  <c r="K295" i="20"/>
  <c r="L295" i="20"/>
  <c r="M295" i="20"/>
  <c r="N295" i="20"/>
  <c r="O295" i="20"/>
  <c r="P295" i="20"/>
  <c r="Q295" i="20"/>
  <c r="M32" i="22"/>
  <c r="J59" i="22"/>
  <c r="K59" i="22"/>
  <c r="L59" i="22"/>
  <c r="M59" i="22"/>
  <c r="N59" i="22"/>
  <c r="O59" i="22"/>
  <c r="P59" i="22"/>
  <c r="Q59" i="22"/>
  <c r="J60" i="22"/>
  <c r="K60" i="22"/>
  <c r="L60" i="22"/>
  <c r="M60" i="22"/>
  <c r="N60" i="22"/>
  <c r="O60" i="22"/>
  <c r="P60" i="22"/>
  <c r="Q60" i="22"/>
  <c r="J62" i="22"/>
  <c r="K62" i="22"/>
  <c r="L62" i="22"/>
  <c r="M62" i="22"/>
  <c r="N62" i="22"/>
  <c r="O62" i="22"/>
  <c r="P62" i="22"/>
  <c r="Q62" i="22"/>
  <c r="J63" i="22"/>
  <c r="K63" i="22"/>
  <c r="L63" i="22"/>
  <c r="M63" i="22"/>
  <c r="N63" i="22"/>
  <c r="O63" i="22"/>
  <c r="P63" i="22"/>
  <c r="Q63" i="22"/>
  <c r="J64" i="22"/>
  <c r="K64" i="22"/>
  <c r="L64" i="22"/>
  <c r="M64" i="22"/>
  <c r="N64" i="22"/>
  <c r="O64" i="22"/>
  <c r="P64" i="22"/>
  <c r="Q64" i="22"/>
  <c r="J65" i="22"/>
  <c r="K65" i="22"/>
  <c r="L65" i="22"/>
  <c r="M65" i="22"/>
  <c r="N65" i="22"/>
  <c r="O65" i="22"/>
  <c r="P65" i="22"/>
  <c r="Q65" i="22"/>
  <c r="J119" i="22"/>
  <c r="K119" i="22"/>
  <c r="L119" i="22"/>
  <c r="M119" i="22"/>
  <c r="N119" i="22"/>
  <c r="O119" i="22"/>
  <c r="P119" i="22"/>
  <c r="Q119" i="22"/>
  <c r="J123" i="22"/>
  <c r="K123" i="22"/>
  <c r="L123" i="22"/>
  <c r="M123" i="22"/>
  <c r="N123" i="22"/>
  <c r="O123" i="22"/>
  <c r="P123" i="22"/>
  <c r="Q123" i="22"/>
  <c r="J127" i="22"/>
  <c r="K127" i="22"/>
  <c r="L127" i="22"/>
  <c r="M127" i="22"/>
  <c r="N127" i="22"/>
  <c r="O127" i="22"/>
  <c r="P127" i="22"/>
  <c r="Q127" i="22"/>
  <c r="J135" i="22"/>
  <c r="K135" i="22"/>
  <c r="L135" i="22"/>
  <c r="M135" i="22"/>
  <c r="N135" i="22"/>
  <c r="O135" i="22"/>
  <c r="P135" i="22"/>
  <c r="Q135" i="22"/>
  <c r="J137" i="22"/>
  <c r="K137" i="22"/>
  <c r="L137" i="22"/>
  <c r="M137" i="22"/>
  <c r="N137" i="22"/>
  <c r="O137" i="22"/>
  <c r="P137" i="22"/>
  <c r="Q137" i="22"/>
  <c r="J139" i="22"/>
  <c r="K139" i="22"/>
  <c r="L139" i="22"/>
  <c r="M139" i="22"/>
  <c r="N139" i="22"/>
  <c r="O139" i="22"/>
  <c r="P139" i="22"/>
  <c r="Q139" i="22"/>
  <c r="J140" i="22"/>
  <c r="K140" i="22"/>
  <c r="L140" i="22"/>
  <c r="M140" i="22"/>
  <c r="N140" i="22"/>
  <c r="O140" i="22"/>
  <c r="P140" i="22"/>
  <c r="Q140" i="22"/>
  <c r="J141" i="22"/>
  <c r="K141" i="22"/>
  <c r="L141" i="22"/>
  <c r="M141" i="22"/>
  <c r="N141" i="22"/>
  <c r="O141" i="22"/>
  <c r="P141" i="22"/>
  <c r="Q141" i="22"/>
  <c r="J150" i="22"/>
  <c r="K150" i="22"/>
  <c r="L150" i="22"/>
  <c r="M150" i="22"/>
  <c r="N150" i="22"/>
  <c r="O150" i="22"/>
  <c r="P150" i="22"/>
  <c r="Q150" i="22"/>
  <c r="J152" i="22"/>
  <c r="K152" i="22"/>
  <c r="L152" i="22"/>
  <c r="J154" i="22"/>
  <c r="K154" i="22"/>
  <c r="L154" i="22"/>
  <c r="M154" i="22"/>
  <c r="N154" i="22"/>
  <c r="O154" i="22"/>
  <c r="P154" i="22"/>
  <c r="Q154" i="22"/>
  <c r="J156" i="22"/>
  <c r="K156" i="22"/>
  <c r="L156" i="22"/>
  <c r="M156" i="22"/>
  <c r="N156" i="22"/>
  <c r="O156" i="22"/>
  <c r="P156" i="22"/>
  <c r="Q156" i="22"/>
  <c r="K158" i="22"/>
  <c r="L158" i="22"/>
  <c r="M158" i="22"/>
  <c r="N158" i="22"/>
  <c r="O158" i="22"/>
  <c r="P158" i="22"/>
  <c r="Q158" i="22"/>
  <c r="J159" i="22"/>
  <c r="K159" i="22"/>
  <c r="L159" i="22"/>
  <c r="M159" i="22"/>
  <c r="N159" i="22"/>
  <c r="O159" i="22"/>
  <c r="P159" i="22"/>
  <c r="Q159" i="22"/>
  <c r="J161" i="22"/>
  <c r="K161" i="22"/>
  <c r="L161" i="22"/>
  <c r="M161" i="22"/>
  <c r="N161" i="22"/>
  <c r="O161" i="22"/>
  <c r="P161" i="22"/>
  <c r="Q161" i="22"/>
  <c r="K163" i="22"/>
  <c r="L163" i="22"/>
  <c r="M163" i="22"/>
  <c r="N163" i="22"/>
  <c r="O163" i="22"/>
  <c r="P163" i="22"/>
  <c r="Q163" i="22"/>
  <c r="J164" i="22"/>
  <c r="K164" i="22"/>
  <c r="L164" i="22"/>
  <c r="M164" i="22"/>
  <c r="N164" i="22"/>
  <c r="O164" i="22"/>
  <c r="P164" i="22"/>
  <c r="Q164" i="22"/>
  <c r="J167" i="22"/>
  <c r="K167" i="22"/>
  <c r="L167" i="22"/>
  <c r="M167" i="22"/>
  <c r="N167" i="22"/>
  <c r="O167" i="22"/>
  <c r="P167" i="22"/>
  <c r="Q167" i="22"/>
  <c r="J170" i="22"/>
  <c r="K170" i="22"/>
  <c r="L170" i="22"/>
  <c r="M170" i="22"/>
  <c r="N170" i="22"/>
  <c r="O170" i="22"/>
  <c r="P170" i="22"/>
  <c r="Q170" i="22"/>
  <c r="J171" i="22"/>
  <c r="K171" i="22"/>
  <c r="L171" i="22"/>
  <c r="M171" i="22"/>
  <c r="N171" i="22"/>
  <c r="O171" i="22"/>
  <c r="P171" i="22"/>
  <c r="Q171" i="22"/>
  <c r="J181" i="22"/>
  <c r="K181" i="22"/>
  <c r="L181" i="22"/>
  <c r="M181" i="22"/>
  <c r="N181" i="22"/>
  <c r="O181" i="22"/>
  <c r="P181" i="22"/>
  <c r="Q181" i="22"/>
  <c r="J182" i="22"/>
  <c r="K182" i="22"/>
  <c r="L182" i="22"/>
  <c r="M182" i="22"/>
  <c r="N182" i="22"/>
  <c r="O182" i="22"/>
  <c r="P182" i="22"/>
  <c r="Q182" i="22"/>
  <c r="J183" i="22"/>
  <c r="K183" i="22"/>
  <c r="L183" i="22"/>
  <c r="M183" i="22"/>
  <c r="N183" i="22"/>
  <c r="O183" i="22"/>
  <c r="P183" i="22"/>
  <c r="Q183" i="22"/>
  <c r="J184" i="22"/>
  <c r="K184" i="22"/>
  <c r="L184" i="22"/>
  <c r="M184" i="22"/>
  <c r="N184" i="22"/>
  <c r="O184" i="22"/>
  <c r="P184" i="22"/>
  <c r="Q184" i="22"/>
  <c r="J185" i="22"/>
  <c r="K185" i="22"/>
  <c r="L185" i="22"/>
  <c r="M185" i="22"/>
  <c r="N185" i="22"/>
  <c r="O185" i="22"/>
  <c r="P185" i="22"/>
  <c r="Q185" i="22"/>
  <c r="J186" i="22"/>
  <c r="K186" i="22"/>
  <c r="L186" i="22"/>
  <c r="M186" i="22"/>
  <c r="N186" i="22"/>
  <c r="O186" i="22"/>
  <c r="P186" i="22"/>
  <c r="Q186" i="22"/>
  <c r="J189" i="22"/>
  <c r="K189" i="22"/>
  <c r="L189" i="22"/>
  <c r="M189" i="22"/>
  <c r="N189" i="22"/>
  <c r="O189" i="22"/>
  <c r="P189" i="22"/>
  <c r="Q189" i="22"/>
  <c r="J191" i="22"/>
  <c r="K191" i="22"/>
  <c r="L191" i="22"/>
  <c r="M191" i="22"/>
  <c r="N191" i="22"/>
  <c r="O191" i="22"/>
  <c r="P191" i="22"/>
  <c r="Q191" i="22"/>
  <c r="K200" i="22"/>
  <c r="L200" i="22"/>
  <c r="M200" i="22"/>
  <c r="N200" i="22"/>
  <c r="O200" i="22"/>
  <c r="P200" i="22"/>
  <c r="Q200" i="22"/>
  <c r="K201" i="22"/>
  <c r="L201" i="22"/>
  <c r="M201" i="22"/>
  <c r="N201" i="22"/>
  <c r="O201" i="22"/>
  <c r="P201" i="22"/>
  <c r="Q201" i="22"/>
  <c r="K202" i="22"/>
  <c r="L202" i="22"/>
  <c r="M202" i="22"/>
  <c r="N202" i="22"/>
  <c r="O202" i="22"/>
  <c r="P202" i="22"/>
  <c r="Q202" i="22"/>
  <c r="K203" i="22"/>
  <c r="L203" i="22"/>
  <c r="M203" i="22"/>
  <c r="N203" i="22"/>
  <c r="O203" i="22"/>
  <c r="P203" i="22"/>
  <c r="Q203" i="22"/>
  <c r="K204" i="22"/>
  <c r="L204" i="22"/>
  <c r="M204" i="22"/>
  <c r="N204" i="22"/>
  <c r="O204" i="22"/>
  <c r="P204" i="22"/>
  <c r="Q204" i="22"/>
  <c r="J206" i="22"/>
  <c r="K206" i="22"/>
  <c r="L206" i="22"/>
  <c r="M206" i="22"/>
  <c r="N206" i="22"/>
  <c r="O206" i="22"/>
  <c r="P206" i="22"/>
  <c r="Q206" i="22"/>
  <c r="J209" i="22"/>
  <c r="K209" i="22"/>
  <c r="L209" i="22"/>
  <c r="M209" i="22"/>
  <c r="N209" i="22"/>
  <c r="O209" i="22"/>
  <c r="P209" i="22"/>
  <c r="Q209" i="22"/>
  <c r="J210" i="22"/>
  <c r="K210" i="22"/>
  <c r="L210" i="22"/>
  <c r="M210" i="22"/>
  <c r="N210" i="22"/>
  <c r="O210" i="22"/>
  <c r="P210" i="22"/>
  <c r="Q210" i="22"/>
  <c r="J211" i="22"/>
  <c r="K211" i="22"/>
  <c r="L211" i="22"/>
  <c r="M211" i="22"/>
  <c r="N211" i="22"/>
  <c r="O211" i="22"/>
  <c r="P211" i="22"/>
  <c r="Q211" i="22"/>
  <c r="J212" i="22"/>
  <c r="K212" i="22"/>
  <c r="L212" i="22"/>
  <c r="M212" i="22"/>
  <c r="N212" i="22"/>
  <c r="O212" i="22"/>
  <c r="P212" i="22"/>
  <c r="Q212" i="22"/>
  <c r="J213" i="22"/>
  <c r="K213" i="22"/>
  <c r="L213" i="22"/>
  <c r="M213" i="22"/>
  <c r="N213" i="22"/>
  <c r="O213" i="22"/>
  <c r="P213" i="22"/>
  <c r="Q213" i="22"/>
  <c r="J225" i="22"/>
  <c r="K225" i="22"/>
  <c r="L225" i="22"/>
  <c r="M225" i="22"/>
  <c r="N225" i="22"/>
  <c r="O225" i="22"/>
  <c r="P225" i="22"/>
  <c r="Q225" i="22"/>
  <c r="J226" i="22"/>
  <c r="K226" i="22"/>
  <c r="L226" i="22"/>
  <c r="M226" i="22"/>
  <c r="N226" i="22"/>
  <c r="O226" i="22"/>
  <c r="P226" i="22"/>
  <c r="Q226" i="22"/>
  <c r="J227" i="22"/>
  <c r="K227" i="22"/>
  <c r="L227" i="22"/>
  <c r="M227" i="22"/>
  <c r="N227" i="22"/>
  <c r="O227" i="22"/>
  <c r="P227" i="22"/>
  <c r="Q227" i="22"/>
  <c r="J228" i="22"/>
  <c r="K228" i="22"/>
  <c r="L228" i="22"/>
  <c r="M228" i="22"/>
  <c r="N228" i="22"/>
  <c r="O228" i="22"/>
  <c r="P228" i="22"/>
  <c r="Q228" i="22"/>
  <c r="J229" i="22"/>
  <c r="K229" i="22"/>
  <c r="L229" i="22"/>
  <c r="M229" i="22"/>
  <c r="N229" i="22"/>
  <c r="O229" i="22"/>
  <c r="P229" i="22"/>
  <c r="Q229" i="22"/>
  <c r="J239" i="22"/>
  <c r="K239" i="22"/>
  <c r="L239" i="22"/>
  <c r="M239" i="22"/>
  <c r="N239" i="22"/>
  <c r="O239" i="22"/>
  <c r="P239" i="22"/>
  <c r="Q239" i="22"/>
  <c r="J240" i="22"/>
  <c r="K240" i="22"/>
  <c r="L240" i="22"/>
  <c r="M240" i="22"/>
  <c r="N240" i="22"/>
  <c r="O240" i="22"/>
  <c r="P240" i="22"/>
  <c r="Q240" i="22"/>
  <c r="J241" i="22"/>
  <c r="K241" i="22"/>
  <c r="L241" i="22"/>
  <c r="M241" i="22"/>
  <c r="N241" i="22"/>
  <c r="O241" i="22"/>
  <c r="P241" i="22"/>
  <c r="Q241" i="22"/>
  <c r="J242" i="22"/>
  <c r="K242" i="22"/>
  <c r="L242" i="22"/>
  <c r="M242" i="22"/>
  <c r="N242" i="22"/>
  <c r="O242" i="22"/>
  <c r="P242" i="22"/>
  <c r="Q242" i="22"/>
  <c r="J243" i="22"/>
  <c r="K243" i="22"/>
  <c r="L243" i="22"/>
  <c r="M243" i="22"/>
  <c r="N243" i="22"/>
  <c r="O243" i="22"/>
  <c r="P243" i="22"/>
  <c r="Q243" i="22"/>
  <c r="J244" i="22"/>
  <c r="K244" i="22"/>
  <c r="L244" i="22"/>
  <c r="M244" i="22"/>
  <c r="N244" i="22"/>
  <c r="O244" i="22"/>
  <c r="P244" i="22"/>
  <c r="Q244" i="22"/>
  <c r="J248" i="22"/>
  <c r="K248" i="22"/>
  <c r="L248" i="22"/>
  <c r="J249" i="22"/>
  <c r="K249" i="22"/>
  <c r="L249" i="22"/>
  <c r="J259" i="22"/>
  <c r="K259" i="22"/>
  <c r="L259" i="22"/>
  <c r="M259" i="22"/>
  <c r="N259" i="22"/>
  <c r="O259" i="22"/>
  <c r="P259" i="22"/>
  <c r="Q259" i="22"/>
  <c r="J261" i="22"/>
  <c r="K261" i="22"/>
  <c r="L261" i="22"/>
  <c r="M261" i="22"/>
  <c r="N261" i="22"/>
  <c r="O261" i="22"/>
  <c r="P261" i="22"/>
  <c r="Q261" i="22"/>
  <c r="J262" i="22"/>
  <c r="K262" i="22"/>
  <c r="L262" i="22"/>
  <c r="M262" i="22"/>
  <c r="N262" i="22"/>
  <c r="O262" i="22"/>
  <c r="P262" i="22"/>
  <c r="Q262" i="22"/>
  <c r="J263" i="22"/>
  <c r="K263" i="22"/>
  <c r="L263" i="22"/>
  <c r="M263" i="22"/>
  <c r="N263" i="22"/>
  <c r="O263" i="22"/>
  <c r="P263" i="22"/>
  <c r="Q263" i="22"/>
  <c r="J266" i="22"/>
  <c r="K266" i="22"/>
  <c r="L266" i="22"/>
  <c r="J268" i="22"/>
  <c r="K268" i="22"/>
  <c r="L268" i="22"/>
  <c r="J279" i="22"/>
  <c r="K279" i="22"/>
  <c r="L279" i="22"/>
  <c r="M279" i="22"/>
  <c r="N279" i="22"/>
  <c r="O279" i="22"/>
  <c r="P279" i="22"/>
  <c r="Q279" i="22"/>
  <c r="J280" i="22"/>
  <c r="K280" i="22"/>
  <c r="L280" i="22"/>
  <c r="M280" i="22"/>
  <c r="N280" i="22"/>
  <c r="O280" i="22"/>
  <c r="P280" i="22"/>
  <c r="Q280" i="22"/>
  <c r="J281" i="22"/>
  <c r="K281" i="22"/>
  <c r="L281" i="22"/>
  <c r="M281" i="22"/>
  <c r="N281" i="22"/>
  <c r="O281" i="22"/>
  <c r="P281" i="22"/>
  <c r="Q281" i="22"/>
  <c r="I285" i="22"/>
  <c r="J285" i="22"/>
  <c r="K285" i="22"/>
  <c r="L285" i="22"/>
  <c r="M285" i="22"/>
  <c r="N285" i="22"/>
  <c r="O285" i="22"/>
  <c r="P285" i="22"/>
  <c r="Q285" i="22"/>
  <c r="J289" i="22"/>
  <c r="K289" i="22"/>
  <c r="L289" i="22"/>
  <c r="M289" i="22"/>
  <c r="N289" i="22"/>
  <c r="O289" i="22"/>
  <c r="P289" i="22"/>
  <c r="Q289" i="22"/>
  <c r="J290" i="22"/>
  <c r="K290" i="22"/>
  <c r="L290" i="22"/>
  <c r="M290" i="22"/>
  <c r="N290" i="22"/>
  <c r="O290" i="22"/>
  <c r="P290" i="22"/>
  <c r="Q290" i="22"/>
  <c r="J291" i="22"/>
  <c r="K291" i="22"/>
  <c r="L291" i="22"/>
  <c r="M291" i="22"/>
  <c r="N291" i="22"/>
  <c r="O291" i="22"/>
  <c r="P291" i="22"/>
  <c r="Q291" i="22"/>
  <c r="I294" i="22"/>
  <c r="J294" i="22"/>
  <c r="K294" i="22"/>
  <c r="L294" i="22"/>
  <c r="M294" i="22"/>
  <c r="N294" i="22"/>
  <c r="O294" i="22"/>
  <c r="P294" i="22"/>
  <c r="Q294" i="22"/>
  <c r="I295" i="22"/>
  <c r="J295" i="22"/>
  <c r="K295" i="22"/>
  <c r="L295" i="22"/>
  <c r="M295" i="22"/>
  <c r="N295" i="22"/>
  <c r="O295" i="22"/>
  <c r="P295" i="22"/>
  <c r="Q295" i="22"/>
  <c r="J308" i="22"/>
  <c r="K308" i="22"/>
  <c r="L308" i="22"/>
  <c r="M308" i="22"/>
  <c r="N308" i="22"/>
  <c r="O308" i="22"/>
  <c r="P308" i="22"/>
  <c r="Q308" i="22"/>
  <c r="J309" i="22"/>
  <c r="K309" i="22"/>
  <c r="L309" i="22"/>
  <c r="M309" i="22"/>
  <c r="N309" i="22"/>
  <c r="O309" i="22"/>
  <c r="P309" i="22"/>
  <c r="Q309" i="22"/>
  <c r="J310" i="22"/>
  <c r="K310" i="22"/>
  <c r="L310" i="22"/>
  <c r="M310" i="22"/>
  <c r="N310" i="22"/>
  <c r="O310" i="22"/>
  <c r="P310" i="22"/>
  <c r="Q310" i="22"/>
  <c r="J330" i="22"/>
  <c r="K330" i="22"/>
  <c r="L330" i="22"/>
  <c r="M330" i="22"/>
  <c r="N330" i="22"/>
  <c r="O330" i="22"/>
  <c r="P330" i="22"/>
  <c r="Q330" i="22"/>
  <c r="J331" i="22"/>
  <c r="K331" i="22"/>
  <c r="L331" i="22"/>
  <c r="M331" i="22"/>
  <c r="N331" i="22"/>
  <c r="O331" i="22"/>
  <c r="P331" i="22"/>
  <c r="Q331" i="22"/>
  <c r="J332" i="22"/>
  <c r="K332" i="22"/>
  <c r="L332" i="22"/>
  <c r="M332" i="22"/>
  <c r="N332" i="22"/>
  <c r="O332" i="22"/>
  <c r="P332" i="22"/>
  <c r="Q332" i="22"/>
  <c r="J333" i="22"/>
  <c r="K333" i="22"/>
  <c r="L333" i="22"/>
  <c r="M333" i="22"/>
  <c r="N333" i="22"/>
  <c r="O333" i="22"/>
  <c r="P333" i="22"/>
  <c r="Q333" i="22"/>
  <c r="J334" i="22"/>
  <c r="K334" i="22"/>
  <c r="L334" i="22"/>
  <c r="M334" i="22"/>
  <c r="N334" i="22"/>
  <c r="O334" i="22"/>
  <c r="P334" i="22"/>
  <c r="Q334" i="22"/>
  <c r="J335" i="22"/>
  <c r="K335" i="22"/>
  <c r="L335" i="22"/>
  <c r="M335" i="22"/>
  <c r="N335" i="22"/>
  <c r="O335" i="22"/>
  <c r="P335" i="22"/>
  <c r="Q335" i="22"/>
  <c r="J336" i="22"/>
  <c r="K336" i="22"/>
  <c r="L336" i="22"/>
  <c r="M336" i="22"/>
  <c r="N336" i="22"/>
  <c r="O336" i="22"/>
  <c r="P336" i="22"/>
  <c r="Q336" i="22"/>
  <c r="J337" i="22"/>
  <c r="K337" i="22"/>
  <c r="L337" i="22"/>
  <c r="M337" i="22"/>
  <c r="N337" i="22"/>
  <c r="O337" i="22"/>
  <c r="P337" i="22"/>
  <c r="Q337" i="22"/>
  <c r="J338" i="22"/>
  <c r="K338" i="22"/>
  <c r="L338" i="22"/>
  <c r="M338" i="22"/>
  <c r="N338" i="22"/>
  <c r="O338" i="22"/>
  <c r="P338" i="22"/>
  <c r="Q338" i="22"/>
  <c r="J344" i="22"/>
  <c r="K344" i="22"/>
  <c r="L344" i="22"/>
  <c r="M344" i="22"/>
  <c r="N344" i="22"/>
  <c r="O344" i="22"/>
  <c r="P344" i="22"/>
  <c r="Q344" i="22"/>
  <c r="J345" i="22"/>
  <c r="K345" i="22"/>
  <c r="L345" i="22"/>
  <c r="M345" i="22"/>
  <c r="N345" i="22"/>
  <c r="O345" i="22"/>
  <c r="P345" i="22"/>
  <c r="Q345" i="22"/>
  <c r="J346" i="22"/>
  <c r="K346" i="22"/>
  <c r="L346" i="22"/>
  <c r="M346" i="22"/>
  <c r="N346" i="22"/>
  <c r="O346" i="22"/>
  <c r="P346" i="22"/>
  <c r="Q346" i="22"/>
  <c r="J347" i="22"/>
  <c r="K347" i="22"/>
  <c r="L347" i="22"/>
  <c r="M347" i="22"/>
  <c r="N347" i="22"/>
  <c r="O347" i="22"/>
  <c r="P347" i="22"/>
  <c r="Q347" i="22"/>
  <c r="J348" i="22"/>
  <c r="K348" i="22"/>
  <c r="L348" i="22"/>
  <c r="M348" i="22"/>
  <c r="N348" i="22"/>
  <c r="O348" i="22"/>
  <c r="P348" i="22"/>
  <c r="Q348" i="22"/>
  <c r="J349" i="22"/>
  <c r="K349" i="22"/>
  <c r="L349" i="22"/>
  <c r="M349" i="22"/>
  <c r="N349" i="22"/>
  <c r="O349" i="22"/>
  <c r="P349" i="22"/>
  <c r="Q349" i="22"/>
  <c r="J350" i="22"/>
  <c r="K350" i="22"/>
  <c r="L350" i="22"/>
  <c r="M350" i="22"/>
  <c r="N350" i="22"/>
  <c r="O350" i="22"/>
  <c r="P350" i="22"/>
  <c r="Q350" i="22"/>
  <c r="J351" i="22"/>
  <c r="K351" i="22"/>
  <c r="L351" i="22"/>
  <c r="M351" i="22"/>
  <c r="N351" i="22"/>
  <c r="O351" i="22"/>
  <c r="P351" i="22"/>
  <c r="Q351" i="22"/>
  <c r="J352" i="22"/>
  <c r="K352" i="22"/>
  <c r="L352" i="22"/>
  <c r="M352" i="22"/>
  <c r="N352" i="22"/>
  <c r="O352" i="22"/>
  <c r="P352" i="22"/>
  <c r="Q352" i="22"/>
  <c r="J358" i="22"/>
  <c r="K358" i="22"/>
  <c r="L358" i="22"/>
  <c r="M358" i="22"/>
  <c r="N358" i="22"/>
  <c r="O358" i="22"/>
  <c r="P358" i="22"/>
  <c r="Q358" i="22"/>
  <c r="J359" i="22"/>
  <c r="K359" i="22"/>
  <c r="L359" i="22"/>
  <c r="M359" i="22"/>
  <c r="N359" i="22"/>
  <c r="O359" i="22"/>
  <c r="P359" i="22"/>
  <c r="Q359" i="22"/>
  <c r="J360" i="22"/>
  <c r="K360" i="22"/>
  <c r="L360" i="22"/>
  <c r="M360" i="22"/>
  <c r="N360" i="22"/>
  <c r="O360" i="22"/>
  <c r="P360" i="22"/>
  <c r="Q360" i="22"/>
  <c r="J361" i="22"/>
  <c r="K361" i="22"/>
  <c r="L361" i="22"/>
  <c r="M361" i="22"/>
  <c r="N361" i="22"/>
  <c r="O361" i="22"/>
  <c r="P361" i="22"/>
  <c r="Q361" i="22"/>
  <c r="J362" i="22"/>
  <c r="K362" i="22"/>
  <c r="L362" i="22"/>
  <c r="M362" i="22"/>
  <c r="N362" i="22"/>
  <c r="O362" i="22"/>
  <c r="P362" i="22"/>
  <c r="Q362" i="22"/>
  <c r="J363" i="22"/>
  <c r="K363" i="22"/>
  <c r="L363" i="22"/>
  <c r="M363" i="22"/>
  <c r="N363" i="22"/>
  <c r="O363" i="22"/>
  <c r="P363" i="22"/>
  <c r="Q363" i="22"/>
  <c r="J364" i="22"/>
  <c r="K364" i="22"/>
  <c r="L364" i="22"/>
  <c r="M364" i="22"/>
  <c r="N364" i="22"/>
  <c r="O364" i="22"/>
  <c r="P364" i="22"/>
  <c r="Q364" i="22"/>
  <c r="J365" i="22"/>
  <c r="K365" i="22"/>
  <c r="L365" i="22"/>
  <c r="M365" i="22"/>
  <c r="N365" i="22"/>
  <c r="O365" i="22"/>
  <c r="P365" i="22"/>
  <c r="Q365" i="22"/>
  <c r="J366" i="22"/>
  <c r="K366" i="22"/>
  <c r="L366" i="22"/>
  <c r="M366" i="22"/>
  <c r="N366" i="22"/>
  <c r="O366" i="22"/>
  <c r="P366" i="22"/>
  <c r="Q366" i="22"/>
  <c r="M32" i="7"/>
  <c r="J59" i="7"/>
  <c r="K59" i="7"/>
  <c r="L59" i="7"/>
  <c r="M59" i="7"/>
  <c r="N59" i="7"/>
  <c r="O59" i="7"/>
  <c r="P59" i="7"/>
  <c r="Q59" i="7"/>
  <c r="J60" i="7"/>
  <c r="K60" i="7"/>
  <c r="L60" i="7"/>
  <c r="M60" i="7"/>
  <c r="N60" i="7"/>
  <c r="O60" i="7"/>
  <c r="P60" i="7"/>
  <c r="Q60" i="7"/>
  <c r="J62" i="7"/>
  <c r="K62" i="7"/>
  <c r="L62" i="7"/>
  <c r="M62" i="7"/>
  <c r="N62" i="7"/>
  <c r="O62" i="7"/>
  <c r="P62" i="7"/>
  <c r="Q62" i="7"/>
  <c r="J63" i="7"/>
  <c r="K63" i="7"/>
  <c r="L63" i="7"/>
  <c r="M63" i="7"/>
  <c r="N63" i="7"/>
  <c r="O63" i="7"/>
  <c r="P63" i="7"/>
  <c r="Q63" i="7"/>
  <c r="J64" i="7"/>
  <c r="K64" i="7"/>
  <c r="L64" i="7"/>
  <c r="M64" i="7"/>
  <c r="N64" i="7"/>
  <c r="O64" i="7"/>
  <c r="P64" i="7"/>
  <c r="Q64" i="7"/>
  <c r="J65" i="7"/>
  <c r="K65" i="7"/>
  <c r="L65" i="7"/>
  <c r="M65" i="7"/>
  <c r="N65" i="7"/>
  <c r="O65" i="7"/>
  <c r="P65" i="7"/>
  <c r="Q65" i="7"/>
  <c r="J119" i="7"/>
  <c r="K119" i="7"/>
  <c r="L119" i="7"/>
  <c r="M119" i="7"/>
  <c r="N119" i="7"/>
  <c r="O119" i="7"/>
  <c r="P119" i="7"/>
  <c r="Q119" i="7"/>
  <c r="J123" i="7"/>
  <c r="K123" i="7"/>
  <c r="L123" i="7"/>
  <c r="M123" i="7"/>
  <c r="N123" i="7"/>
  <c r="O123" i="7"/>
  <c r="P123" i="7"/>
  <c r="Q123" i="7"/>
  <c r="J127" i="7"/>
  <c r="K127" i="7"/>
  <c r="L127" i="7"/>
  <c r="M127" i="7"/>
  <c r="N127" i="7"/>
  <c r="O127" i="7"/>
  <c r="P127" i="7"/>
  <c r="Q127" i="7"/>
  <c r="J135" i="7"/>
  <c r="K135" i="7"/>
  <c r="L135" i="7"/>
  <c r="M135" i="7"/>
  <c r="N135" i="7"/>
  <c r="O135" i="7"/>
  <c r="P135" i="7"/>
  <c r="Q135" i="7"/>
  <c r="J137" i="7"/>
  <c r="K137" i="7"/>
  <c r="L137" i="7"/>
  <c r="M137" i="7"/>
  <c r="N137" i="7"/>
  <c r="O137" i="7"/>
  <c r="P137" i="7"/>
  <c r="Q137" i="7"/>
  <c r="J139" i="7"/>
  <c r="K139" i="7"/>
  <c r="L139" i="7"/>
  <c r="M139" i="7"/>
  <c r="N139" i="7"/>
  <c r="O139" i="7"/>
  <c r="P139" i="7"/>
  <c r="Q139" i="7"/>
  <c r="J140" i="7"/>
  <c r="K140" i="7"/>
  <c r="L140" i="7"/>
  <c r="M140" i="7"/>
  <c r="N140" i="7"/>
  <c r="O140" i="7"/>
  <c r="P140" i="7"/>
  <c r="Q140" i="7"/>
  <c r="J141" i="7"/>
  <c r="K141" i="7"/>
  <c r="L141" i="7"/>
  <c r="M141" i="7"/>
  <c r="N141" i="7"/>
  <c r="O141" i="7"/>
  <c r="P141" i="7"/>
  <c r="Q141" i="7"/>
  <c r="J150" i="7"/>
  <c r="K150" i="7"/>
  <c r="L150" i="7"/>
  <c r="M150" i="7"/>
  <c r="N150" i="7"/>
  <c r="O150" i="7"/>
  <c r="P150" i="7"/>
  <c r="Q150" i="7"/>
  <c r="J152" i="7"/>
  <c r="K152" i="7"/>
  <c r="L152" i="7"/>
  <c r="J154" i="7"/>
  <c r="K154" i="7"/>
  <c r="L154" i="7"/>
  <c r="M154" i="7"/>
  <c r="N154" i="7"/>
  <c r="O154" i="7"/>
  <c r="P154" i="7"/>
  <c r="Q154" i="7"/>
  <c r="J156" i="7"/>
  <c r="K156" i="7"/>
  <c r="L156" i="7"/>
  <c r="M156" i="7"/>
  <c r="N156" i="7"/>
  <c r="O156" i="7"/>
  <c r="P156" i="7"/>
  <c r="Q156" i="7"/>
  <c r="K158" i="7"/>
  <c r="L158" i="7"/>
  <c r="M158" i="7"/>
  <c r="N158" i="7"/>
  <c r="O158" i="7"/>
  <c r="P158" i="7"/>
  <c r="Q158" i="7"/>
  <c r="J159" i="7"/>
  <c r="K159" i="7"/>
  <c r="L159" i="7"/>
  <c r="M159" i="7"/>
  <c r="N159" i="7"/>
  <c r="O159" i="7"/>
  <c r="P159" i="7"/>
  <c r="Q159" i="7"/>
  <c r="J161" i="7"/>
  <c r="K161" i="7"/>
  <c r="L161" i="7"/>
  <c r="M161" i="7"/>
  <c r="N161" i="7"/>
  <c r="O161" i="7"/>
  <c r="P161" i="7"/>
  <c r="Q161" i="7"/>
  <c r="K163" i="7"/>
  <c r="L163" i="7"/>
  <c r="M163" i="7"/>
  <c r="N163" i="7"/>
  <c r="O163" i="7"/>
  <c r="P163" i="7"/>
  <c r="Q163" i="7"/>
  <c r="J164" i="7"/>
  <c r="K164" i="7"/>
  <c r="L164" i="7"/>
  <c r="M164" i="7"/>
  <c r="N164" i="7"/>
  <c r="O164" i="7"/>
  <c r="P164" i="7"/>
  <c r="Q164" i="7"/>
  <c r="J167" i="7"/>
  <c r="K167" i="7"/>
  <c r="L167" i="7"/>
  <c r="M167" i="7"/>
  <c r="N167" i="7"/>
  <c r="O167" i="7"/>
  <c r="P167" i="7"/>
  <c r="Q167" i="7"/>
  <c r="J170" i="7"/>
  <c r="K170" i="7"/>
  <c r="L170" i="7"/>
  <c r="M170" i="7"/>
  <c r="N170" i="7"/>
  <c r="O170" i="7"/>
  <c r="P170" i="7"/>
  <c r="Q170" i="7"/>
  <c r="J171" i="7"/>
  <c r="K171" i="7"/>
  <c r="L171" i="7"/>
  <c r="M171" i="7"/>
  <c r="N171" i="7"/>
  <c r="O171" i="7"/>
  <c r="P171" i="7"/>
  <c r="Q171" i="7"/>
  <c r="J181" i="7"/>
  <c r="K181" i="7"/>
  <c r="L181" i="7"/>
  <c r="M181" i="7"/>
  <c r="N181" i="7"/>
  <c r="O181" i="7"/>
  <c r="P181" i="7"/>
  <c r="Q181" i="7"/>
  <c r="J182" i="7"/>
  <c r="K182" i="7"/>
  <c r="L182" i="7"/>
  <c r="M182" i="7"/>
  <c r="N182" i="7"/>
  <c r="O182" i="7"/>
  <c r="P182" i="7"/>
  <c r="Q182" i="7"/>
  <c r="J183" i="7"/>
  <c r="K183" i="7"/>
  <c r="L183" i="7"/>
  <c r="M183" i="7"/>
  <c r="N183" i="7"/>
  <c r="O183" i="7"/>
  <c r="P183" i="7"/>
  <c r="Q183" i="7"/>
  <c r="J184" i="7"/>
  <c r="K184" i="7"/>
  <c r="L184" i="7"/>
  <c r="M184" i="7"/>
  <c r="N184" i="7"/>
  <c r="O184" i="7"/>
  <c r="P184" i="7"/>
  <c r="Q184" i="7"/>
  <c r="J185" i="7"/>
  <c r="K185" i="7"/>
  <c r="L185" i="7"/>
  <c r="M185" i="7"/>
  <c r="N185" i="7"/>
  <c r="O185" i="7"/>
  <c r="P185" i="7"/>
  <c r="Q185" i="7"/>
  <c r="J186" i="7"/>
  <c r="K186" i="7"/>
  <c r="L186" i="7"/>
  <c r="M186" i="7"/>
  <c r="N186" i="7"/>
  <c r="O186" i="7"/>
  <c r="P186" i="7"/>
  <c r="Q186" i="7"/>
  <c r="J189" i="7"/>
  <c r="K189" i="7"/>
  <c r="L189" i="7"/>
  <c r="M189" i="7"/>
  <c r="N189" i="7"/>
  <c r="O189" i="7"/>
  <c r="P189" i="7"/>
  <c r="Q189" i="7"/>
  <c r="J191" i="7"/>
  <c r="K191" i="7"/>
  <c r="L191" i="7"/>
  <c r="M191" i="7"/>
  <c r="N191" i="7"/>
  <c r="O191" i="7"/>
  <c r="P191" i="7"/>
  <c r="Q191" i="7"/>
  <c r="K200" i="7"/>
  <c r="L200" i="7"/>
  <c r="M200" i="7"/>
  <c r="N200" i="7"/>
  <c r="O200" i="7"/>
  <c r="P200" i="7"/>
  <c r="Q200" i="7"/>
  <c r="K201" i="7"/>
  <c r="L201" i="7"/>
  <c r="M201" i="7"/>
  <c r="N201" i="7"/>
  <c r="O201" i="7"/>
  <c r="P201" i="7"/>
  <c r="Q201" i="7"/>
  <c r="K202" i="7"/>
  <c r="L202" i="7"/>
  <c r="M202" i="7"/>
  <c r="N202" i="7"/>
  <c r="O202" i="7"/>
  <c r="P202" i="7"/>
  <c r="Q202" i="7"/>
  <c r="K203" i="7"/>
  <c r="L203" i="7"/>
  <c r="M203" i="7"/>
  <c r="N203" i="7"/>
  <c r="O203" i="7"/>
  <c r="P203" i="7"/>
  <c r="Q203" i="7"/>
  <c r="K204" i="7"/>
  <c r="L204" i="7"/>
  <c r="M204" i="7"/>
  <c r="N204" i="7"/>
  <c r="O204" i="7"/>
  <c r="P204" i="7"/>
  <c r="Q204" i="7"/>
  <c r="J206" i="7"/>
  <c r="K206" i="7"/>
  <c r="L206" i="7"/>
  <c r="M206" i="7"/>
  <c r="N206" i="7"/>
  <c r="O206" i="7"/>
  <c r="P206" i="7"/>
  <c r="Q206" i="7"/>
  <c r="J209" i="7"/>
  <c r="K209" i="7"/>
  <c r="L209" i="7"/>
  <c r="M209" i="7"/>
  <c r="N209" i="7"/>
  <c r="O209" i="7"/>
  <c r="P209" i="7"/>
  <c r="Q209" i="7"/>
  <c r="J210" i="7"/>
  <c r="K210" i="7"/>
  <c r="L210" i="7"/>
  <c r="M210" i="7"/>
  <c r="N210" i="7"/>
  <c r="O210" i="7"/>
  <c r="P210" i="7"/>
  <c r="Q210" i="7"/>
  <c r="J211" i="7"/>
  <c r="K211" i="7"/>
  <c r="L211" i="7"/>
  <c r="M211" i="7"/>
  <c r="N211" i="7"/>
  <c r="O211" i="7"/>
  <c r="P211" i="7"/>
  <c r="Q211" i="7"/>
  <c r="J212" i="7"/>
  <c r="K212" i="7"/>
  <c r="L212" i="7"/>
  <c r="M212" i="7"/>
  <c r="N212" i="7"/>
  <c r="O212" i="7"/>
  <c r="P212" i="7"/>
  <c r="Q212" i="7"/>
  <c r="J213" i="7"/>
  <c r="K213" i="7"/>
  <c r="L213" i="7"/>
  <c r="M213" i="7"/>
  <c r="N213" i="7"/>
  <c r="O213" i="7"/>
  <c r="P213" i="7"/>
  <c r="Q213" i="7"/>
  <c r="J225" i="7"/>
  <c r="K225" i="7"/>
  <c r="L225" i="7"/>
  <c r="M225" i="7"/>
  <c r="N225" i="7"/>
  <c r="O225" i="7"/>
  <c r="P225" i="7"/>
  <c r="Q225" i="7"/>
  <c r="J226" i="7"/>
  <c r="K226" i="7"/>
  <c r="L226" i="7"/>
  <c r="M226" i="7"/>
  <c r="N226" i="7"/>
  <c r="O226" i="7"/>
  <c r="P226" i="7"/>
  <c r="Q226" i="7"/>
  <c r="J227" i="7"/>
  <c r="K227" i="7"/>
  <c r="L227" i="7"/>
  <c r="M227" i="7"/>
  <c r="N227" i="7"/>
  <c r="O227" i="7"/>
  <c r="P227" i="7"/>
  <c r="Q227" i="7"/>
  <c r="J228" i="7"/>
  <c r="K228" i="7"/>
  <c r="L228" i="7"/>
  <c r="M228" i="7"/>
  <c r="N228" i="7"/>
  <c r="O228" i="7"/>
  <c r="P228" i="7"/>
  <c r="Q228" i="7"/>
  <c r="J229" i="7"/>
  <c r="K229" i="7"/>
  <c r="L229" i="7"/>
  <c r="M229" i="7"/>
  <c r="N229" i="7"/>
  <c r="O229" i="7"/>
  <c r="P229" i="7"/>
  <c r="Q229" i="7"/>
  <c r="J239" i="7"/>
  <c r="K239" i="7"/>
  <c r="L239" i="7"/>
  <c r="M239" i="7"/>
  <c r="N239" i="7"/>
  <c r="O239" i="7"/>
  <c r="P239" i="7"/>
  <c r="Q239" i="7"/>
  <c r="J240" i="7"/>
  <c r="K240" i="7"/>
  <c r="L240" i="7"/>
  <c r="M240" i="7"/>
  <c r="N240" i="7"/>
  <c r="O240" i="7"/>
  <c r="P240" i="7"/>
  <c r="Q240" i="7"/>
  <c r="J241" i="7"/>
  <c r="K241" i="7"/>
  <c r="L241" i="7"/>
  <c r="M241" i="7"/>
  <c r="N241" i="7"/>
  <c r="O241" i="7"/>
  <c r="P241" i="7"/>
  <c r="Q241" i="7"/>
  <c r="J242" i="7"/>
  <c r="K242" i="7"/>
  <c r="L242" i="7"/>
  <c r="M242" i="7"/>
  <c r="N242" i="7"/>
  <c r="O242" i="7"/>
  <c r="P242" i="7"/>
  <c r="Q242" i="7"/>
  <c r="J243" i="7"/>
  <c r="K243" i="7"/>
  <c r="L243" i="7"/>
  <c r="M243" i="7"/>
  <c r="N243" i="7"/>
  <c r="O243" i="7"/>
  <c r="P243" i="7"/>
  <c r="Q243" i="7"/>
  <c r="J244" i="7"/>
  <c r="K244" i="7"/>
  <c r="L244" i="7"/>
  <c r="M244" i="7"/>
  <c r="N244" i="7"/>
  <c r="O244" i="7"/>
  <c r="P244" i="7"/>
  <c r="Q244" i="7"/>
  <c r="J248" i="7"/>
  <c r="K248" i="7"/>
  <c r="L248" i="7"/>
  <c r="J249" i="7"/>
  <c r="K249" i="7"/>
  <c r="L249" i="7"/>
  <c r="J259" i="7"/>
  <c r="K259" i="7"/>
  <c r="L259" i="7"/>
  <c r="M259" i="7"/>
  <c r="N259" i="7"/>
  <c r="O259" i="7"/>
  <c r="P259" i="7"/>
  <c r="Q259" i="7"/>
  <c r="J261" i="7"/>
  <c r="K261" i="7"/>
  <c r="L261" i="7"/>
  <c r="M261" i="7"/>
  <c r="N261" i="7"/>
  <c r="O261" i="7"/>
  <c r="P261" i="7"/>
  <c r="Q261" i="7"/>
  <c r="J262" i="7"/>
  <c r="K262" i="7"/>
  <c r="L262" i="7"/>
  <c r="M262" i="7"/>
  <c r="N262" i="7"/>
  <c r="O262" i="7"/>
  <c r="P262" i="7"/>
  <c r="Q262" i="7"/>
  <c r="J263" i="7"/>
  <c r="K263" i="7"/>
  <c r="L263" i="7"/>
  <c r="M263" i="7"/>
  <c r="N263" i="7"/>
  <c r="O263" i="7"/>
  <c r="P263" i="7"/>
  <c r="Q263" i="7"/>
  <c r="J266" i="7"/>
  <c r="K266" i="7"/>
  <c r="L266" i="7"/>
  <c r="J268" i="7"/>
  <c r="K268" i="7"/>
  <c r="L268" i="7"/>
  <c r="J279" i="7"/>
  <c r="K279" i="7"/>
  <c r="L279" i="7"/>
  <c r="M279" i="7"/>
  <c r="N279" i="7"/>
  <c r="O279" i="7"/>
  <c r="P279" i="7"/>
  <c r="Q279" i="7"/>
  <c r="J280" i="7"/>
  <c r="K280" i="7"/>
  <c r="L280" i="7"/>
  <c r="M280" i="7"/>
  <c r="N280" i="7"/>
  <c r="O280" i="7"/>
  <c r="P280" i="7"/>
  <c r="Q280" i="7"/>
  <c r="J281" i="7"/>
  <c r="K281" i="7"/>
  <c r="L281" i="7"/>
  <c r="M281" i="7"/>
  <c r="N281" i="7"/>
  <c r="O281" i="7"/>
  <c r="P281" i="7"/>
  <c r="Q281" i="7"/>
  <c r="I285" i="7"/>
  <c r="J285" i="7"/>
  <c r="K285" i="7"/>
  <c r="L285" i="7"/>
  <c r="M285" i="7"/>
  <c r="N285" i="7"/>
  <c r="O285" i="7"/>
  <c r="P285" i="7"/>
  <c r="Q285" i="7"/>
  <c r="J289" i="7"/>
  <c r="K289" i="7"/>
  <c r="L289" i="7"/>
  <c r="M289" i="7"/>
  <c r="N289" i="7"/>
  <c r="O289" i="7"/>
  <c r="P289" i="7"/>
  <c r="Q289" i="7"/>
  <c r="J290" i="7"/>
  <c r="K290" i="7"/>
  <c r="L290" i="7"/>
  <c r="M290" i="7"/>
  <c r="N290" i="7"/>
  <c r="O290" i="7"/>
  <c r="P290" i="7"/>
  <c r="Q290" i="7"/>
  <c r="J291" i="7"/>
  <c r="K291" i="7"/>
  <c r="L291" i="7"/>
  <c r="M291" i="7"/>
  <c r="N291" i="7"/>
  <c r="O291" i="7"/>
  <c r="P291" i="7"/>
  <c r="Q291" i="7"/>
  <c r="I294" i="7"/>
  <c r="J294" i="7"/>
  <c r="K294" i="7"/>
  <c r="L294" i="7"/>
  <c r="M294" i="7"/>
  <c r="N294" i="7"/>
  <c r="O294" i="7"/>
  <c r="P294" i="7"/>
  <c r="Q294" i="7"/>
  <c r="I295" i="7"/>
  <c r="J295" i="7"/>
  <c r="K295" i="7"/>
  <c r="L295" i="7"/>
  <c r="M295" i="7"/>
  <c r="N295" i="7"/>
  <c r="O295" i="7"/>
  <c r="P295" i="7"/>
  <c r="Q295" i="7"/>
  <c r="J308" i="7"/>
  <c r="K308" i="7"/>
  <c r="L308" i="7"/>
  <c r="M308" i="7"/>
  <c r="N308" i="7"/>
  <c r="O308" i="7"/>
  <c r="P308" i="7"/>
  <c r="Q308" i="7"/>
  <c r="J309" i="7"/>
  <c r="K309" i="7"/>
  <c r="L309" i="7"/>
  <c r="M309" i="7"/>
  <c r="N309" i="7"/>
  <c r="O309" i="7"/>
  <c r="P309" i="7"/>
  <c r="Q309" i="7"/>
  <c r="J310" i="7"/>
  <c r="K310" i="7"/>
  <c r="L310" i="7"/>
  <c r="M310" i="7"/>
  <c r="N310" i="7"/>
  <c r="O310" i="7"/>
  <c r="P310" i="7"/>
  <c r="Q310" i="7"/>
  <c r="J330" i="7"/>
  <c r="K330" i="7"/>
  <c r="L330" i="7"/>
  <c r="M330" i="7"/>
  <c r="N330" i="7"/>
  <c r="O330" i="7"/>
  <c r="P330" i="7"/>
  <c r="Q330" i="7"/>
  <c r="J331" i="7"/>
  <c r="K331" i="7"/>
  <c r="L331" i="7"/>
  <c r="M331" i="7"/>
  <c r="N331" i="7"/>
  <c r="O331" i="7"/>
  <c r="P331" i="7"/>
  <c r="Q331" i="7"/>
  <c r="J332" i="7"/>
  <c r="K332" i="7"/>
  <c r="L332" i="7"/>
  <c r="M332" i="7"/>
  <c r="N332" i="7"/>
  <c r="O332" i="7"/>
  <c r="P332" i="7"/>
  <c r="Q332" i="7"/>
  <c r="J333" i="7"/>
  <c r="K333" i="7"/>
  <c r="L333" i="7"/>
  <c r="M333" i="7"/>
  <c r="N333" i="7"/>
  <c r="O333" i="7"/>
  <c r="P333" i="7"/>
  <c r="Q333" i="7"/>
  <c r="J334" i="7"/>
  <c r="K334" i="7"/>
  <c r="L334" i="7"/>
  <c r="M334" i="7"/>
  <c r="N334" i="7"/>
  <c r="O334" i="7"/>
  <c r="P334" i="7"/>
  <c r="Q334" i="7"/>
  <c r="J335" i="7"/>
  <c r="K335" i="7"/>
  <c r="L335" i="7"/>
  <c r="M335" i="7"/>
  <c r="N335" i="7"/>
  <c r="O335" i="7"/>
  <c r="P335" i="7"/>
  <c r="Q335" i="7"/>
  <c r="J336" i="7"/>
  <c r="K336" i="7"/>
  <c r="L336" i="7"/>
  <c r="M336" i="7"/>
  <c r="N336" i="7"/>
  <c r="O336" i="7"/>
  <c r="P336" i="7"/>
  <c r="Q336" i="7"/>
  <c r="J337" i="7"/>
  <c r="K337" i="7"/>
  <c r="L337" i="7"/>
  <c r="M337" i="7"/>
  <c r="N337" i="7"/>
  <c r="O337" i="7"/>
  <c r="P337" i="7"/>
  <c r="Q337" i="7"/>
  <c r="J338" i="7"/>
  <c r="K338" i="7"/>
  <c r="L338" i="7"/>
  <c r="M338" i="7"/>
  <c r="N338" i="7"/>
  <c r="O338" i="7"/>
  <c r="P338" i="7"/>
  <c r="Q338" i="7"/>
  <c r="J344" i="7"/>
  <c r="K344" i="7"/>
  <c r="L344" i="7"/>
  <c r="M344" i="7"/>
  <c r="N344" i="7"/>
  <c r="O344" i="7"/>
  <c r="P344" i="7"/>
  <c r="Q344" i="7"/>
  <c r="J345" i="7"/>
  <c r="K345" i="7"/>
  <c r="L345" i="7"/>
  <c r="M345" i="7"/>
  <c r="N345" i="7"/>
  <c r="O345" i="7"/>
  <c r="P345" i="7"/>
  <c r="Q345" i="7"/>
  <c r="J346" i="7"/>
  <c r="K346" i="7"/>
  <c r="L346" i="7"/>
  <c r="M346" i="7"/>
  <c r="N346" i="7"/>
  <c r="O346" i="7"/>
  <c r="P346" i="7"/>
  <c r="Q346" i="7"/>
  <c r="J347" i="7"/>
  <c r="K347" i="7"/>
  <c r="L347" i="7"/>
  <c r="M347" i="7"/>
  <c r="N347" i="7"/>
  <c r="O347" i="7"/>
  <c r="P347" i="7"/>
  <c r="Q347" i="7"/>
  <c r="J348" i="7"/>
  <c r="K348" i="7"/>
  <c r="L348" i="7"/>
  <c r="M348" i="7"/>
  <c r="N348" i="7"/>
  <c r="O348" i="7"/>
  <c r="P348" i="7"/>
  <c r="Q348" i="7"/>
  <c r="J349" i="7"/>
  <c r="K349" i="7"/>
  <c r="L349" i="7"/>
  <c r="M349" i="7"/>
  <c r="N349" i="7"/>
  <c r="O349" i="7"/>
  <c r="P349" i="7"/>
  <c r="Q349" i="7"/>
  <c r="J350" i="7"/>
  <c r="K350" i="7"/>
  <c r="L350" i="7"/>
  <c r="M350" i="7"/>
  <c r="N350" i="7"/>
  <c r="O350" i="7"/>
  <c r="P350" i="7"/>
  <c r="Q350" i="7"/>
  <c r="J351" i="7"/>
  <c r="K351" i="7"/>
  <c r="L351" i="7"/>
  <c r="M351" i="7"/>
  <c r="N351" i="7"/>
  <c r="O351" i="7"/>
  <c r="P351" i="7"/>
  <c r="Q351" i="7"/>
  <c r="J352" i="7"/>
  <c r="K352" i="7"/>
  <c r="L352" i="7"/>
  <c r="M352" i="7"/>
  <c r="N352" i="7"/>
  <c r="O352" i="7"/>
  <c r="P352" i="7"/>
  <c r="Q352" i="7"/>
  <c r="J358" i="7"/>
  <c r="K358" i="7"/>
  <c r="L358" i="7"/>
  <c r="M358" i="7"/>
  <c r="N358" i="7"/>
  <c r="O358" i="7"/>
  <c r="P358" i="7"/>
  <c r="Q358" i="7"/>
  <c r="J359" i="7"/>
  <c r="K359" i="7"/>
  <c r="L359" i="7"/>
  <c r="M359" i="7"/>
  <c r="N359" i="7"/>
  <c r="O359" i="7"/>
  <c r="P359" i="7"/>
  <c r="Q359" i="7"/>
  <c r="J360" i="7"/>
  <c r="K360" i="7"/>
  <c r="L360" i="7"/>
  <c r="M360" i="7"/>
  <c r="N360" i="7"/>
  <c r="O360" i="7"/>
  <c r="P360" i="7"/>
  <c r="Q360" i="7"/>
  <c r="J361" i="7"/>
  <c r="K361" i="7"/>
  <c r="L361" i="7"/>
  <c r="M361" i="7"/>
  <c r="N361" i="7"/>
  <c r="O361" i="7"/>
  <c r="P361" i="7"/>
  <c r="Q361" i="7"/>
  <c r="J362" i="7"/>
  <c r="K362" i="7"/>
  <c r="L362" i="7"/>
  <c r="M362" i="7"/>
  <c r="N362" i="7"/>
  <c r="O362" i="7"/>
  <c r="P362" i="7"/>
  <c r="Q362" i="7"/>
  <c r="J363" i="7"/>
  <c r="K363" i="7"/>
  <c r="L363" i="7"/>
  <c r="M363" i="7"/>
  <c r="N363" i="7"/>
  <c r="O363" i="7"/>
  <c r="P363" i="7"/>
  <c r="Q363" i="7"/>
  <c r="J364" i="7"/>
  <c r="K364" i="7"/>
  <c r="L364" i="7"/>
  <c r="M364" i="7"/>
  <c r="N364" i="7"/>
  <c r="O364" i="7"/>
  <c r="P364" i="7"/>
  <c r="Q364" i="7"/>
  <c r="J365" i="7"/>
  <c r="K365" i="7"/>
  <c r="L365" i="7"/>
  <c r="M365" i="7"/>
  <c r="N365" i="7"/>
  <c r="O365" i="7"/>
  <c r="P365" i="7"/>
  <c r="Q365" i="7"/>
  <c r="J366" i="7"/>
  <c r="K366" i="7"/>
  <c r="L366" i="7"/>
  <c r="M366" i="7"/>
  <c r="N366" i="7"/>
  <c r="O366" i="7"/>
  <c r="P366" i="7"/>
  <c r="Q366" i="7"/>
</calcChain>
</file>

<file path=xl/sharedStrings.xml><?xml version="1.0" encoding="utf-8"?>
<sst xmlns="http://schemas.openxmlformats.org/spreadsheetml/2006/main" count="4300" uniqueCount="205">
  <si>
    <t>LIBOR</t>
  </si>
  <si>
    <t>Interest Expense</t>
  </si>
  <si>
    <t>Minimum Cash Balance</t>
  </si>
  <si>
    <t>Cash</t>
  </si>
  <si>
    <t>Total Assets</t>
  </si>
  <si>
    <t>IRR</t>
  </si>
  <si>
    <t>Inventory</t>
  </si>
  <si>
    <t>Other Current Assets</t>
  </si>
  <si>
    <t>Accounts Payable</t>
  </si>
  <si>
    <t>Other Current Liabilities</t>
  </si>
  <si>
    <t>Beginning Cash Balance</t>
  </si>
  <si>
    <t>Mandatory Amortization</t>
  </si>
  <si>
    <t>Years PIK</t>
  </si>
  <si>
    <t>Leverage</t>
  </si>
  <si>
    <t>Interest Coverage</t>
  </si>
  <si>
    <t>Revenue</t>
  </si>
  <si>
    <t>Ending Cash Balance</t>
  </si>
  <si>
    <t>% Margin</t>
  </si>
  <si>
    <t>Enterprise Value</t>
  </si>
  <si>
    <t>Equity Value</t>
  </si>
  <si>
    <t>Term Loan B</t>
  </si>
  <si>
    <t>Revolver</t>
  </si>
  <si>
    <t>Goodwill</t>
  </si>
  <si>
    <t>Net Debt</t>
  </si>
  <si>
    <t>Total Interest Expense</t>
  </si>
  <si>
    <t>Sponsor Equity</t>
  </si>
  <si>
    <t>Purchase Equity</t>
  </si>
  <si>
    <t>Fees</t>
  </si>
  <si>
    <t>Net Income</t>
  </si>
  <si>
    <t>Rate</t>
  </si>
  <si>
    <t>Uses</t>
  </si>
  <si>
    <t>Financing Fees</t>
  </si>
  <si>
    <t>Sources</t>
  </si>
  <si>
    <t>Total Debt</t>
  </si>
  <si>
    <t>Illustrative LBO Analysis</t>
  </si>
  <si>
    <t>x</t>
  </si>
  <si>
    <t>Transaction Assumptions</t>
  </si>
  <si>
    <t>($ in millions, except where otherwise specified)</t>
  </si>
  <si>
    <t>Sources &amp; Uses</t>
  </si>
  <si>
    <t>$</t>
  </si>
  <si>
    <t>%</t>
  </si>
  <si>
    <t>Cash On-Hand</t>
  </si>
  <si>
    <t>Revolver Draw</t>
  </si>
  <si>
    <t>Senior Notes</t>
  </si>
  <si>
    <t>Subordinated Notes</t>
  </si>
  <si>
    <t>Management Rollover</t>
  </si>
  <si>
    <t>Total Sources</t>
  </si>
  <si>
    <t>Refinance Existing Debt</t>
  </si>
  <si>
    <t>Fund Cash Balance</t>
  </si>
  <si>
    <t>Transaction Expenses</t>
  </si>
  <si>
    <t>Total Uses</t>
  </si>
  <si>
    <t>Refinancing Expenses</t>
  </si>
  <si>
    <t>CHECK:</t>
  </si>
  <si>
    <t>LTM Adj. EBITDA</t>
  </si>
  <si>
    <t>Illustrative Transaction Multiple</t>
  </si>
  <si>
    <t>Transaction Value</t>
  </si>
  <si>
    <t>( - ) Debt</t>
  </si>
  <si>
    <t>( + ) Cash</t>
  </si>
  <si>
    <t>Memo: Management Rollover</t>
  </si>
  <si>
    <t>Management Rollover - %</t>
  </si>
  <si>
    <t>Management Rollover - $</t>
  </si>
  <si>
    <t>Purchase Accounting</t>
  </si>
  <si>
    <t>Total Equity Value</t>
  </si>
  <si>
    <t>PF Goodwill</t>
  </si>
  <si>
    <t>( + ) Total Liabilities</t>
  </si>
  <si>
    <t>( - ) Total Assets (excl. goodwill)</t>
  </si>
  <si>
    <t>Financing Assumptions</t>
  </si>
  <si>
    <t>NA</t>
  </si>
  <si>
    <t>Term</t>
  </si>
  <si>
    <t>Interest</t>
  </si>
  <si>
    <t>Type</t>
  </si>
  <si>
    <t>Annual</t>
  </si>
  <si>
    <t>Amort.</t>
  </si>
  <si>
    <t>Financing</t>
  </si>
  <si>
    <t>Revolver Commitment:</t>
  </si>
  <si>
    <t>Commitment Fee:</t>
  </si>
  <si>
    <t>Debt Financing</t>
  </si>
  <si>
    <t>Senior Secured Debt</t>
  </si>
  <si>
    <t>Senior Debt</t>
  </si>
  <si>
    <t>Other Assumptions</t>
  </si>
  <si>
    <t>Total</t>
  </si>
  <si>
    <t>Fees - $</t>
  </si>
  <si>
    <t>Cash Interest Rate</t>
  </si>
  <si>
    <t>Illustrative Tax Rate</t>
  </si>
  <si>
    <t>PF Income Statement</t>
  </si>
  <si>
    <t>PF Balance Sheet</t>
  </si>
  <si>
    <t>PF Statement of Cash Flows</t>
  </si>
  <si>
    <t>PF Debt Schedule</t>
  </si>
  <si>
    <t>Fiscal Year Ending December 31,</t>
  </si>
  <si>
    <t>% Growth</t>
  </si>
  <si>
    <t>Adj. EBITDA</t>
  </si>
  <si>
    <t>( - ) D&amp;A</t>
  </si>
  <si>
    <t>Adj. EBIT</t>
  </si>
  <si>
    <t>( - ) Net Interest Expense</t>
  </si>
  <si>
    <t>CIRC</t>
  </si>
  <si>
    <t>Adj. EBT</t>
  </si>
  <si>
    <t>( - ) Illustrative Tax Expense</t>
  </si>
  <si>
    <t>Adj. Net Income</t>
  </si>
  <si>
    <t>Memo:</t>
  </si>
  <si>
    <t>D&amp;A (% of Sales)</t>
  </si>
  <si>
    <t>EBITDA Margin (%)</t>
  </si>
  <si>
    <t>Revenue Growth (%)</t>
  </si>
  <si>
    <t>CapEx (% of Sales)</t>
  </si>
  <si>
    <t>Assets</t>
  </si>
  <si>
    <t>Net PP&amp;E</t>
  </si>
  <si>
    <t>Other Noncurrent Assets</t>
  </si>
  <si>
    <t>Net Accounts Receivable</t>
  </si>
  <si>
    <t>Liabilities &amp; Shareholders' Equity</t>
  </si>
  <si>
    <t>Accrued Expenses</t>
  </si>
  <si>
    <t>Total Current Liabilities</t>
  </si>
  <si>
    <t>Other Noncurrent Liabilities</t>
  </si>
  <si>
    <t>Total Liabilities</t>
  </si>
  <si>
    <t>Shareholders' Equity</t>
  </si>
  <si>
    <t>Total Liabilities &amp; Shareholders' Equity</t>
  </si>
  <si>
    <t>Days Sales Outstanding (DSO)</t>
  </si>
  <si>
    <t>Days Inventory Held (DIH)</t>
  </si>
  <si>
    <t>Days Payable Outstanding (DPO)</t>
  </si>
  <si>
    <t>Cash Conversion Cycle</t>
  </si>
  <si>
    <t>Other Current Assets (% of Sales)</t>
  </si>
  <si>
    <t>Accrued Expenses (% of Sales)</t>
  </si>
  <si>
    <t>Other Current Liabilities (% of Sales)</t>
  </si>
  <si>
    <t>Other Current Liablities</t>
  </si>
  <si>
    <t>Current Assets</t>
  </si>
  <si>
    <t>Current Liabilities</t>
  </si>
  <si>
    <t>(Increase) Decrease in NWC</t>
  </si>
  <si>
    <t>Net Working Capital (NWC)</t>
  </si>
  <si>
    <t>Cash from Operating Activities</t>
  </si>
  <si>
    <t>( + ) D&amp;A</t>
  </si>
  <si>
    <t>( + ) Noncash Interest Expense</t>
  </si>
  <si>
    <t>( + / - ) Change in NWC</t>
  </si>
  <si>
    <t>( - ) CapEx</t>
  </si>
  <si>
    <t>Levered Free Cash Flow</t>
  </si>
  <si>
    <t>( + ) Levered Free Cash Flow</t>
  </si>
  <si>
    <t>( - ) Minimum Cash Balance</t>
  </si>
  <si>
    <t>Total Cash Available for Debt Repayment</t>
  </si>
  <si>
    <t>( - ) Mandatory Amortization</t>
  </si>
  <si>
    <t>( - ) Optional Prepayment</t>
  </si>
  <si>
    <t>PF Working Capital</t>
  </si>
  <si>
    <t>COGS (% of Sales)</t>
  </si>
  <si>
    <t>Sales</t>
  </si>
  <si>
    <t>COGS</t>
  </si>
  <si>
    <t>Calculated NWC</t>
  </si>
  <si>
    <t>Key Assumptions</t>
  </si>
  <si>
    <t>( + ) Minimum Cash Balance</t>
  </si>
  <si>
    <t>Average Cash Balance</t>
  </si>
  <si>
    <t>Cash Interest Income</t>
  </si>
  <si>
    <t>Ending Debt Balance</t>
  </si>
  <si>
    <t>Undrawn Revolver Commitment</t>
  </si>
  <si>
    <t>Cash Available for Debt Repayment</t>
  </si>
  <si>
    <t>Mandatory Amortization Schedule</t>
  </si>
  <si>
    <t>Cash Available for Optional Prepayment</t>
  </si>
  <si>
    <t>Optional Prepayment</t>
  </si>
  <si>
    <t>PF Interest Expense</t>
  </si>
  <si>
    <t>Interest Rate Schedule</t>
  </si>
  <si>
    <t>Debt Balance</t>
  </si>
  <si>
    <t>PIK Interest Expense</t>
  </si>
  <si>
    <t>Financing Fee Amortization</t>
  </si>
  <si>
    <t>( + ) Financing Fee Amortization</t>
  </si>
  <si>
    <t>Net Interest Expense</t>
  </si>
  <si>
    <t>( - ) Interest Income</t>
  </si>
  <si>
    <t>Noncash Interest Expense</t>
  </si>
  <si>
    <t>Total Noncash Interest Expense</t>
  </si>
  <si>
    <t>PF Credit Metrics</t>
  </si>
  <si>
    <t>Illustrative Returns</t>
  </si>
  <si>
    <t>Minimum Debt Increment</t>
  </si>
  <si>
    <t>Days</t>
  </si>
  <si>
    <t>Undrawn Revolver</t>
  </si>
  <si>
    <t>Fee</t>
  </si>
  <si>
    <t>% of Original</t>
  </si>
  <si>
    <t>Cash Interest Expense</t>
  </si>
  <si>
    <t>CapEx</t>
  </si>
  <si>
    <t>Outstanding Debt</t>
  </si>
  <si>
    <t>Line Items</t>
  </si>
  <si>
    <t>Total Debt / Adj. EBITDA</t>
  </si>
  <si>
    <t>Senior Secured Debt / Adj. EBITDA</t>
  </si>
  <si>
    <t>Senior Debt / Adj. EBITDA</t>
  </si>
  <si>
    <t>Adj. EBITDA / Cash Interest Expense</t>
  </si>
  <si>
    <t>Adj. EBITDA - CapEx / Cash Interest Expense</t>
  </si>
  <si>
    <t>( - ) Cash</t>
  </si>
  <si>
    <t>(Based on Multiple of LTM Adj. EBITDA)</t>
  </si>
  <si>
    <t>MoIC</t>
  </si>
  <si>
    <t>Investment</t>
  </si>
  <si>
    <t>CHECKS</t>
  </si>
  <si>
    <t>Balance Sheet:</t>
  </si>
  <si>
    <t>Sources &amp; Uses:</t>
  </si>
  <si>
    <t xml:space="preserve"> </t>
  </si>
  <si>
    <t>PF Working Capital Schedule</t>
  </si>
  <si>
    <t>Working Capital Schedule</t>
  </si>
  <si>
    <t>Years:</t>
  </si>
  <si>
    <t xml:space="preserve">   </t>
  </si>
  <si>
    <t>11. Debt Schedule</t>
  </si>
  <si>
    <t>10. Statement of Cash Flows</t>
  </si>
  <si>
    <t>9. PF Balance Sheet</t>
  </si>
  <si>
    <t>8. Working Capital Schedule</t>
  </si>
  <si>
    <t>7. Income Statement</t>
  </si>
  <si>
    <t>6. Sources &amp; Uses</t>
  </si>
  <si>
    <t>5. Debt Financing</t>
  </si>
  <si>
    <t>4. Purchase Accounting</t>
  </si>
  <si>
    <t>3. Filling in Transaction Assumptions</t>
  </si>
  <si>
    <t>Completed LBO Model</t>
  </si>
  <si>
    <t>12. Interest Expense Schedule</t>
  </si>
  <si>
    <t>13. Putting the Pieces Together</t>
  </si>
  <si>
    <t>14. Credit Metrics</t>
  </si>
  <si>
    <t>15. Sponsor Returns</t>
  </si>
  <si>
    <t>Total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</si>
</sst>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164" formatCode="0.0%"/>
    <numFmt numFmtId="165" formatCode="#,##0.0_);\(#,##0.0\)"/>
    <numFmt numFmtId="166" formatCode="0&quot; yr&quot;"/>
    <numFmt numFmtId="167" formatCode="0.000%"/>
    <numFmt numFmtId="168" formatCode="&quot;On&quot;;&quot;Error&quot;;&quot;Off&quot;;&quot;Error&quot;"/>
    <numFmt numFmtId="169" formatCode="&quot;$&quot;#,##0_);\(&quot;$&quot;#,##0\);\-\-_)"/>
    <numFmt numFmtId="170" formatCode="0.0\x"/>
    <numFmt numFmtId="171" formatCode="&quot;FLOAT&quot;;&quot;ERROR&quot;;&quot;FIXED&quot;;&quot;ERROR&quot;"/>
    <numFmt numFmtId="172" formatCode="&quot;L+&quot;0.000%"/>
    <numFmt numFmtId="173" formatCode="#,##0_);\(#,##0\);\-\-_)"/>
    <numFmt numFmtId="174" formatCode="yyyy\A"/>
    <numFmt numFmtId="175" formatCode="yyyy&quot;E&quot;"/>
    <numFmt numFmtId="176" formatCode="0.0%_);\(0.0%\);\-\-_)_%"/>
    <numFmt numFmtId="177" formatCode="0.0\x_);\(0.0\x\);\-\-_)_x"/>
    <numFmt numFmtId="178" formatCode="0.0_)_x;\(0.0\)_x;\-\-_)_x"/>
    <numFmt numFmtId="179" formatCode="0.00_)_x"/>
    <numFmt numFmtId="180" formatCode="0.00\x_)"/>
    <numFmt numFmtId="181" formatCode="&quot;PF &quot;yyyy"/>
  </numFmts>
  <fonts count="18" x14ac:knownFonts="1"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Fill="0" applyBorder="0" applyAlignment="0" applyProtection="0"/>
    <xf numFmtId="0" fontId="1" fillId="0" borderId="0" applyFill="0" applyBorder="0" applyProtection="0">
      <alignment horizontal="left"/>
    </xf>
    <xf numFmtId="0" fontId="3" fillId="0" borderId="0" applyBorder="0" applyProtection="0">
      <alignment horizontal="left"/>
    </xf>
    <xf numFmtId="0" fontId="4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</cellStyleXfs>
  <cellXfs count="142">
    <xf numFmtId="0" fontId="0" fillId="0" borderId="0" xfId="0"/>
    <xf numFmtId="0" fontId="5" fillId="0" borderId="4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6" fillId="3" borderId="0" xfId="0" applyFont="1" applyFill="1"/>
    <xf numFmtId="0" fontId="10" fillId="0" borderId="0" xfId="0" applyFont="1"/>
    <xf numFmtId="0" fontId="11" fillId="2" borderId="0" xfId="0" applyFont="1" applyFill="1"/>
    <xf numFmtId="0" fontId="11" fillId="0" borderId="2" xfId="0" applyFont="1" applyBorder="1"/>
    <xf numFmtId="0" fontId="6" fillId="0" borderId="2" xfId="0" applyFont="1" applyBorder="1"/>
    <xf numFmtId="0" fontId="6" fillId="0" borderId="6" xfId="0" applyFont="1" applyBorder="1"/>
    <xf numFmtId="0" fontId="11" fillId="0" borderId="5" xfId="0" applyFont="1" applyBorder="1" applyAlignment="1">
      <alignment horizontal="center"/>
    </xf>
    <xf numFmtId="0" fontId="6" fillId="2" borderId="0" xfId="0" applyFont="1" applyFill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1" fillId="0" borderId="0" xfId="0" applyFont="1"/>
    <xf numFmtId="0" fontId="6" fillId="0" borderId="10" xfId="0" applyFont="1" applyBorder="1"/>
    <xf numFmtId="0" fontId="6" fillId="0" borderId="0" xfId="0" quotePrefix="1" applyFont="1"/>
    <xf numFmtId="0" fontId="6" fillId="0" borderId="10" xfId="0" quotePrefix="1" applyFont="1" applyBorder="1"/>
    <xf numFmtId="0" fontId="12" fillId="0" borderId="0" xfId="0" applyFont="1"/>
    <xf numFmtId="0" fontId="6" fillId="0" borderId="8" xfId="0" quotePrefix="1" applyFont="1" applyBorder="1"/>
    <xf numFmtId="0" fontId="6" fillId="0" borderId="9" xfId="0" quotePrefix="1" applyFont="1" applyBorder="1"/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166" fontId="14" fillId="0" borderId="9" xfId="0" applyNumberFormat="1" applyFont="1" applyBorder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170" fontId="14" fillId="0" borderId="8" xfId="0" applyNumberFormat="1" applyFont="1" applyBorder="1" applyAlignment="1">
      <alignment horizontal="center"/>
    </xf>
    <xf numFmtId="170" fontId="14" fillId="0" borderId="9" xfId="0" applyNumberFormat="1" applyFont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171" fontId="14" fillId="0" borderId="8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6" fontId="14" fillId="0" borderId="10" xfId="0" applyNumberFormat="1" applyFont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172" fontId="14" fillId="0" borderId="10" xfId="0" applyNumberFormat="1" applyFont="1" applyBorder="1"/>
    <xf numFmtId="172" fontId="14" fillId="0" borderId="8" xfId="0" applyNumberFormat="1" applyFont="1" applyBorder="1"/>
    <xf numFmtId="167" fontId="14" fillId="0" borderId="8" xfId="0" applyNumberFormat="1" applyFont="1" applyBorder="1"/>
    <xf numFmtId="167" fontId="14" fillId="0" borderId="9" xfId="0" applyNumberFormat="1" applyFont="1" applyBorder="1"/>
    <xf numFmtId="10" fontId="14" fillId="0" borderId="8" xfId="0" applyNumberFormat="1" applyFont="1" applyBorder="1" applyAlignment="1">
      <alignment horizontal="center"/>
    </xf>
    <xf numFmtId="10" fontId="14" fillId="0" borderId="9" xfId="0" applyNumberFormat="1" applyFont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9" fontId="6" fillId="0" borderId="0" xfId="0" applyNumberFormat="1" applyFont="1"/>
    <xf numFmtId="173" fontId="6" fillId="0" borderId="0" xfId="0" applyNumberFormat="1" applyFont="1"/>
    <xf numFmtId="169" fontId="11" fillId="2" borderId="0" xfId="0" applyNumberFormat="1" applyFont="1" applyFill="1"/>
    <xf numFmtId="164" fontId="14" fillId="0" borderId="0" xfId="0" applyNumberFormat="1" applyFont="1" applyAlignment="1">
      <alignment horizontal="center"/>
    </xf>
    <xf numFmtId="174" fontId="11" fillId="0" borderId="5" xfId="0" applyNumberFormat="1" applyFont="1" applyBorder="1" applyAlignment="1">
      <alignment horizontal="center"/>
    </xf>
    <xf numFmtId="175" fontId="11" fillId="0" borderId="5" xfId="0" applyNumberFormat="1" applyFont="1" applyBorder="1" applyAlignment="1">
      <alignment horizontal="center"/>
    </xf>
    <xf numFmtId="168" fontId="15" fillId="0" borderId="11" xfId="0" applyNumberFormat="1" applyFont="1" applyBorder="1" applyAlignment="1">
      <alignment horizontal="center"/>
    </xf>
    <xf numFmtId="169" fontId="15" fillId="2" borderId="0" xfId="0" applyNumberFormat="1" applyFont="1" applyFill="1"/>
    <xf numFmtId="176" fontId="10" fillId="0" borderId="0" xfId="0" applyNumberFormat="1" applyFont="1"/>
    <xf numFmtId="0" fontId="10" fillId="0" borderId="10" xfId="0" applyFont="1" applyBorder="1"/>
    <xf numFmtId="176" fontId="10" fillId="0" borderId="10" xfId="0" applyNumberFormat="1" applyFont="1" applyBorder="1"/>
    <xf numFmtId="169" fontId="14" fillId="0" borderId="0" xfId="0" applyNumberFormat="1" applyFont="1"/>
    <xf numFmtId="176" fontId="6" fillId="0" borderId="10" xfId="0" applyNumberFormat="1" applyFont="1" applyBorder="1"/>
    <xf numFmtId="176" fontId="6" fillId="0" borderId="8" xfId="0" applyNumberFormat="1" applyFont="1" applyBorder="1"/>
    <xf numFmtId="0" fontId="6" fillId="0" borderId="0" xfId="0" applyFont="1" applyBorder="1"/>
    <xf numFmtId="0" fontId="11" fillId="2" borderId="0" xfId="0" quotePrefix="1" applyFont="1" applyFill="1"/>
    <xf numFmtId="176" fontId="14" fillId="0" borderId="10" xfId="0" applyNumberFormat="1" applyFont="1" applyBorder="1"/>
    <xf numFmtId="0" fontId="11" fillId="2" borderId="0" xfId="0" applyFont="1" applyFill="1" applyBorder="1"/>
    <xf numFmtId="0" fontId="10" fillId="0" borderId="0" xfId="0" quotePrefix="1" applyFont="1"/>
    <xf numFmtId="0" fontId="12" fillId="0" borderId="0" xfId="0" quotePrefix="1" applyFont="1"/>
    <xf numFmtId="0" fontId="11" fillId="4" borderId="0" xfId="0" applyFont="1" applyFill="1"/>
    <xf numFmtId="0" fontId="6" fillId="0" borderId="0" xfId="0" applyFont="1" applyFill="1"/>
    <xf numFmtId="173" fontId="14" fillId="0" borderId="10" xfId="0" applyNumberFormat="1" applyFont="1" applyBorder="1" applyAlignment="1">
      <alignment horizontal="center"/>
    </xf>
    <xf numFmtId="173" fontId="6" fillId="0" borderId="8" xfId="0" applyNumberFormat="1" applyFont="1" applyBorder="1"/>
    <xf numFmtId="173" fontId="6" fillId="0" borderId="9" xfId="0" applyNumberFormat="1" applyFont="1" applyBorder="1"/>
    <xf numFmtId="173" fontId="14" fillId="0" borderId="8" xfId="0" applyNumberFormat="1" applyFont="1" applyBorder="1"/>
    <xf numFmtId="169" fontId="6" fillId="0" borderId="7" xfId="0" applyNumberFormat="1" applyFont="1" applyBorder="1"/>
    <xf numFmtId="176" fontId="6" fillId="0" borderId="9" xfId="0" applyNumberFormat="1" applyFont="1" applyBorder="1"/>
    <xf numFmtId="176" fontId="10" fillId="0" borderId="7" xfId="0" applyNumberFormat="1" applyFont="1" applyBorder="1"/>
    <xf numFmtId="176" fontId="10" fillId="0" borderId="8" xfId="0" applyNumberFormat="1" applyFont="1" applyBorder="1"/>
    <xf numFmtId="176" fontId="10" fillId="0" borderId="9" xfId="0" applyNumberFormat="1" applyFont="1" applyBorder="1"/>
    <xf numFmtId="176" fontId="10" fillId="2" borderId="0" xfId="0" applyNumberFormat="1" applyFont="1" applyFill="1"/>
    <xf numFmtId="169" fontId="14" fillId="0" borderId="7" xfId="0" applyNumberFormat="1" applyFont="1" applyBorder="1"/>
    <xf numFmtId="169" fontId="6" fillId="0" borderId="10" xfId="0" applyNumberFormat="1" applyFont="1" applyBorder="1"/>
    <xf numFmtId="170" fontId="14" fillId="0" borderId="0" xfId="0" applyNumberFormat="1" applyFont="1"/>
    <xf numFmtId="173" fontId="6" fillId="0" borderId="10" xfId="0" applyNumberFormat="1" applyFont="1" applyBorder="1"/>
    <xf numFmtId="170" fontId="6" fillId="0" borderId="0" xfId="0" applyNumberFormat="1" applyFont="1" applyAlignment="1">
      <alignment horizontal="center"/>
    </xf>
    <xf numFmtId="170" fontId="11" fillId="2" borderId="0" xfId="0" applyNumberFormat="1" applyFont="1" applyFill="1" applyAlignment="1">
      <alignment horizontal="center"/>
    </xf>
    <xf numFmtId="173" fontId="6" fillId="0" borderId="0" xfId="0" applyNumberFormat="1" applyFont="1" applyBorder="1"/>
    <xf numFmtId="169" fontId="14" fillId="0" borderId="10" xfId="0" applyNumberFormat="1" applyFont="1" applyBorder="1"/>
    <xf numFmtId="173" fontId="14" fillId="0" borderId="9" xfId="0" applyNumberFormat="1" applyFont="1" applyBorder="1"/>
    <xf numFmtId="169" fontId="11" fillId="2" borderId="0" xfId="0" applyNumberFormat="1" applyFont="1" applyFill="1" applyBorder="1"/>
    <xf numFmtId="0" fontId="16" fillId="0" borderId="0" xfId="0" applyFont="1" applyAlignment="1">
      <alignment horizontal="right"/>
    </xf>
    <xf numFmtId="165" fontId="6" fillId="0" borderId="10" xfId="0" applyNumberFormat="1" applyFont="1" applyBorder="1"/>
    <xf numFmtId="165" fontId="6" fillId="0" borderId="8" xfId="0" applyNumberFormat="1" applyFont="1" applyBorder="1"/>
    <xf numFmtId="165" fontId="6" fillId="0" borderId="9" xfId="0" applyNumberFormat="1" applyFont="1" applyBorder="1"/>
    <xf numFmtId="165" fontId="11" fillId="2" borderId="0" xfId="0" applyNumberFormat="1" applyFont="1" applyFill="1" applyBorder="1"/>
    <xf numFmtId="0" fontId="10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173" fontId="14" fillId="0" borderId="0" xfId="0" applyNumberFormat="1" applyFont="1"/>
    <xf numFmtId="167" fontId="6" fillId="0" borderId="3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center"/>
    </xf>
    <xf numFmtId="6" fontId="6" fillId="0" borderId="0" xfId="0" applyNumberFormat="1" applyFont="1" applyBorder="1"/>
    <xf numFmtId="169" fontId="11" fillId="4" borderId="0" xfId="0" applyNumberFormat="1" applyFont="1" applyFill="1"/>
    <xf numFmtId="167" fontId="15" fillId="2" borderId="0" xfId="0" applyNumberFormat="1" applyFont="1" applyFill="1" applyAlignment="1">
      <alignment horizontal="center"/>
    </xf>
    <xf numFmtId="0" fontId="12" fillId="0" borderId="0" xfId="0" applyFont="1" applyBorder="1"/>
    <xf numFmtId="0" fontId="17" fillId="0" borderId="0" xfId="0" applyFont="1" applyAlignment="1">
      <alignment horizontal="center"/>
    </xf>
    <xf numFmtId="171" fontId="6" fillId="0" borderId="8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67" fontId="6" fillId="0" borderId="10" xfId="0" applyNumberFormat="1" applyFont="1" applyBorder="1"/>
    <xf numFmtId="172" fontId="6" fillId="0" borderId="8" xfId="0" applyNumberFormat="1" applyFont="1" applyBorder="1"/>
    <xf numFmtId="172" fontId="6" fillId="0" borderId="10" xfId="0" applyNumberFormat="1" applyFont="1" applyBorder="1"/>
    <xf numFmtId="167" fontId="6" fillId="0" borderId="8" xfId="0" applyNumberFormat="1" applyFont="1" applyBorder="1"/>
    <xf numFmtId="167" fontId="6" fillId="0" borderId="9" xfId="0" applyNumberFormat="1" applyFont="1" applyBorder="1"/>
    <xf numFmtId="166" fontId="6" fillId="0" borderId="10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73" fontId="6" fillId="0" borderId="9" xfId="0" applyNumberFormat="1" applyFont="1" applyBorder="1" applyAlignment="1">
      <alignment horizontal="center"/>
    </xf>
    <xf numFmtId="39" fontId="6" fillId="0" borderId="0" xfId="0" applyNumberFormat="1" applyFont="1"/>
    <xf numFmtId="168" fontId="11" fillId="0" borderId="3" xfId="0" applyNumberFormat="1" applyFont="1" applyBorder="1" applyAlignment="1">
      <alignment horizontal="center"/>
    </xf>
    <xf numFmtId="177" fontId="6" fillId="0" borderId="10" xfId="0" applyNumberFormat="1" applyFont="1" applyBorder="1"/>
    <xf numFmtId="178" fontId="6" fillId="0" borderId="8" xfId="0" applyNumberFormat="1" applyFont="1" applyBorder="1"/>
    <xf numFmtId="178" fontId="6" fillId="0" borderId="9" xfId="0" applyNumberFormat="1" applyFont="1" applyBorder="1"/>
    <xf numFmtId="0" fontId="11" fillId="5" borderId="0" xfId="0" applyFont="1" applyFill="1"/>
    <xf numFmtId="169" fontId="11" fillId="5" borderId="0" xfId="0" applyNumberFormat="1" applyFont="1" applyFill="1"/>
    <xf numFmtId="170" fontId="6" fillId="0" borderId="3" xfId="0" applyNumberFormat="1" applyFont="1" applyBorder="1" applyAlignment="1">
      <alignment horizontal="center"/>
    </xf>
    <xf numFmtId="170" fontId="11" fillId="5" borderId="3" xfId="0" applyNumberFormat="1" applyFont="1" applyFill="1" applyBorder="1" applyAlignment="1">
      <alignment horizontal="center"/>
    </xf>
    <xf numFmtId="0" fontId="6" fillId="5" borderId="8" xfId="0" applyFont="1" applyFill="1" applyBorder="1"/>
    <xf numFmtId="173" fontId="11" fillId="5" borderId="8" xfId="0" applyNumberFormat="1" applyFont="1" applyFill="1" applyBorder="1"/>
    <xf numFmtId="169" fontId="6" fillId="0" borderId="3" xfId="0" applyNumberFormat="1" applyFont="1" applyBorder="1" applyAlignment="1">
      <alignment horizontal="center"/>
    </xf>
    <xf numFmtId="179" fontId="6" fillId="0" borderId="8" xfId="0" applyNumberFormat="1" applyFont="1" applyBorder="1"/>
    <xf numFmtId="179" fontId="11" fillId="5" borderId="8" xfId="0" applyNumberFormat="1" applyFont="1" applyFill="1" applyBorder="1"/>
    <xf numFmtId="179" fontId="6" fillId="0" borderId="9" xfId="0" applyNumberFormat="1" applyFont="1" applyBorder="1"/>
    <xf numFmtId="180" fontId="6" fillId="0" borderId="10" xfId="0" applyNumberFormat="1" applyFont="1" applyBorder="1"/>
    <xf numFmtId="176" fontId="11" fillId="5" borderId="8" xfId="0" applyNumberFormat="1" applyFont="1" applyFill="1" applyBorder="1"/>
    <xf numFmtId="177" fontId="6" fillId="0" borderId="0" xfId="0" applyNumberFormat="1" applyFont="1" applyAlignment="1">
      <alignment horizontal="center"/>
    </xf>
    <xf numFmtId="178" fontId="11" fillId="2" borderId="0" xfId="0" applyNumberFormat="1" applyFont="1" applyFill="1" applyAlignment="1">
      <alignment horizontal="center"/>
    </xf>
    <xf numFmtId="178" fontId="6" fillId="0" borderId="0" xfId="0" applyNumberFormat="1" applyFont="1" applyAlignment="1">
      <alignment horizontal="center"/>
    </xf>
    <xf numFmtId="181" fontId="11" fillId="0" borderId="5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</cellXfs>
  <cellStyles count="5">
    <cellStyle name="Footnote" xfId="1" xr:uid="{00000000-0005-0000-0000-000000000000}"/>
    <cellStyle name="Normal" xfId="0" builtinId="0"/>
    <cellStyle name="Table Heading" xfId="2" xr:uid="{00000000-0005-0000-0000-000003000000}"/>
    <cellStyle name="Table Title" xfId="3" xr:uid="{00000000-0005-0000-0000-000004000000}"/>
    <cellStyle name="Table Units" xfId="4" xr:uid="{00000000-0005-0000-0000-000005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FF"/>
      <rgbColor rgb="0033CC33"/>
      <rgbColor rgb="00FFCC00"/>
      <rgbColor rgb="00D60047"/>
      <rgbColor rgb="0033CCCC"/>
      <rgbColor rgb="00008000"/>
      <rgbColor rgb="00800080"/>
      <rgbColor rgb="00FF6600"/>
      <rgbColor rgb="00FF0000"/>
      <rgbColor rgb="00FF00FF"/>
      <rgbColor rgb="00D1C2BA"/>
      <rgbColor rgb="00E8D9A8"/>
      <rgbColor rgb="00FFFFFF"/>
      <rgbColor rgb="00FFFFFF"/>
      <rgbColor rgb="006666FF"/>
      <rgbColor rgb="0033CC33"/>
      <rgbColor rgb="00FFCC00"/>
      <rgbColor rgb="00D60047"/>
      <rgbColor rgb="0033CCCC"/>
      <rgbColor rgb="00008000"/>
      <rgbColor rgb="00800080"/>
      <rgbColor rgb="00FF6600"/>
      <rgbColor rgb="006666FF"/>
      <rgbColor rgb="0033CC33"/>
      <rgbColor rgb="00FFCC00"/>
      <rgbColor rgb="00D60047"/>
      <rgbColor rgb="0033CCCC"/>
      <rgbColor rgb="00008000"/>
      <rgbColor rgb="00800080"/>
      <rgbColor rgb="00FF66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F163-5454-4A57-A8D4-430504CA7BB9}">
  <dimension ref="A1:Y366"/>
  <sheetViews>
    <sheetView showGridLines="0" tabSelected="1" zoomScaleNormal="100" workbookViewId="0"/>
  </sheetViews>
  <sheetFormatPr defaultColWidth="8.83203125" defaultRowHeight="12.75" x14ac:dyDescent="0.2"/>
  <cols>
    <col min="1" max="4" width="3.33203125" style="3" customWidth="1"/>
    <col min="5" max="25" width="12.6640625" style="3" customWidth="1"/>
    <col min="26" max="16384" width="8.83203125" style="3"/>
  </cols>
  <sheetData>
    <row r="1" spans="1:25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thickTop="1" x14ac:dyDescent="0.25">
      <c r="A2" s="4" t="s">
        <v>199</v>
      </c>
    </row>
    <row r="3" spans="1:25" x14ac:dyDescent="0.2">
      <c r="A3" s="3" t="s">
        <v>189</v>
      </c>
    </row>
    <row r="4" spans="1:25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B5" s="8" t="s">
        <v>37</v>
      </c>
    </row>
    <row r="7" spans="1:25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5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5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5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5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5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5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5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5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5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2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2:20" x14ac:dyDescent="0.2">
      <c r="J18" s="3" t="s">
        <v>60</v>
      </c>
      <c r="M18" s="49">
        <f>M14*M17</f>
        <v>81</v>
      </c>
    </row>
    <row r="19" spans="2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2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</row>
    <row r="21" spans="2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2:20" x14ac:dyDescent="0.2"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2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85">
        <f t="shared" ref="R23" si="2">Q23/$M$9</f>
        <v>3.0555555555555554</v>
      </c>
      <c r="T23" s="50">
        <f>$W11*$Q23</f>
        <v>3.4375</v>
      </c>
    </row>
    <row r="24" spans="2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86">
        <f>Q24/$M$9</f>
        <v>3.0555555555555554</v>
      </c>
      <c r="S24" s="9"/>
      <c r="T24" s="51"/>
    </row>
    <row r="25" spans="2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85">
        <f t="shared" ref="R25:R28" si="3">Q25/$M$9</f>
        <v>2.5</v>
      </c>
      <c r="T25" s="50">
        <f>$W12*$Q25</f>
        <v>4.5</v>
      </c>
    </row>
    <row r="26" spans="2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86">
        <f t="shared" si="3"/>
        <v>5.5555555555555554</v>
      </c>
      <c r="S26" s="9"/>
      <c r="T26" s="51"/>
    </row>
    <row r="27" spans="2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85">
        <f t="shared" si="3"/>
        <v>1.1111111111111112</v>
      </c>
      <c r="T27" s="50">
        <f>$W13*$Q27</f>
        <v>2.5</v>
      </c>
    </row>
    <row r="28" spans="2:20" x14ac:dyDescent="0.2">
      <c r="O28" s="9" t="s">
        <v>80</v>
      </c>
      <c r="P28" s="9"/>
      <c r="Q28" s="51">
        <f>SUM(Q26:Q27)</f>
        <v>600</v>
      </c>
      <c r="R28" s="86">
        <f t="shared" si="3"/>
        <v>6.666666666666667</v>
      </c>
      <c r="S28" s="9"/>
      <c r="T28" s="51">
        <f>SUM(T22:T27)</f>
        <v>10.9375</v>
      </c>
    </row>
    <row r="30" spans="2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2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 ca="1">COUNTIF(H141:Q141,FALSE) = 0</f>
        <v>1</v>
      </c>
    </row>
    <row r="33" spans="1:25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38</v>
      </c>
      <c r="M33" s="18" t="b">
        <f>G27</f>
        <v>1</v>
      </c>
    </row>
    <row r="34" spans="1:25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5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5" x14ac:dyDescent="0.2">
      <c r="B36" s="3" t="s">
        <v>83</v>
      </c>
      <c r="H36" s="52">
        <v>0.35</v>
      </c>
    </row>
    <row r="37" spans="1:25" ht="13.5" thickBot="1" x14ac:dyDescent="0.25"/>
    <row r="38" spans="1:25" ht="13.5" thickBot="1" x14ac:dyDescent="0.25">
      <c r="B38" s="3" t="s">
        <v>94</v>
      </c>
      <c r="H38" s="55">
        <v>1</v>
      </c>
    </row>
    <row r="42" spans="1:25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B43" s="8" t="s">
        <v>37</v>
      </c>
    </row>
    <row r="45" spans="1:25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5" ht="3" customHeight="1" x14ac:dyDescent="0.2"/>
    <row r="47" spans="1:25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4">J47*(1+K69)</f>
        <v>380.64600000000002</v>
      </c>
      <c r="L47" s="51">
        <f t="shared" si="4"/>
        <v>407.29122000000007</v>
      </c>
      <c r="M47" s="51">
        <f t="shared" si="4"/>
        <v>431.72869320000007</v>
      </c>
      <c r="N47" s="51">
        <f t="shared" si="4"/>
        <v>453.31512786000008</v>
      </c>
      <c r="O47" s="51">
        <f t="shared" si="4"/>
        <v>471.44773297440008</v>
      </c>
      <c r="P47" s="51">
        <f t="shared" si="4"/>
        <v>490.30564229337608</v>
      </c>
      <c r="Q47" s="51">
        <f t="shared" si="4"/>
        <v>509.91786798511112</v>
      </c>
    </row>
    <row r="48" spans="1:25" x14ac:dyDescent="0.2">
      <c r="C48" s="8" t="s">
        <v>89</v>
      </c>
      <c r="I48" s="57">
        <f>IFERROR(I47/H47-1,0)</f>
        <v>4.587155963302747E-2</v>
      </c>
      <c r="J48" s="57">
        <f t="shared" ref="J48:Q48" si="5">IFERROR(J47/I47-1,0)</f>
        <v>5.0000000000000044E-2</v>
      </c>
      <c r="K48" s="57">
        <f t="shared" si="5"/>
        <v>6.0000000000000053E-2</v>
      </c>
      <c r="L48" s="57">
        <f t="shared" si="5"/>
        <v>7.0000000000000062E-2</v>
      </c>
      <c r="M48" s="57">
        <f t="shared" si="5"/>
        <v>6.0000000000000053E-2</v>
      </c>
      <c r="N48" s="57">
        <f t="shared" si="5"/>
        <v>5.0000000000000044E-2</v>
      </c>
      <c r="O48" s="57">
        <f t="shared" si="5"/>
        <v>4.0000000000000036E-2</v>
      </c>
      <c r="P48" s="57">
        <f t="shared" si="5"/>
        <v>4.0000000000000036E-2</v>
      </c>
      <c r="Q48" s="57">
        <f t="shared" si="5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J47*J71</f>
        <v>94.5</v>
      </c>
      <c r="K50" s="51">
        <f t="shared" ref="K50:Q50" si="6">K47*K71</f>
        <v>100.17</v>
      </c>
      <c r="L50" s="51">
        <f t="shared" si="6"/>
        <v>107.18190000000001</v>
      </c>
      <c r="M50" s="51">
        <f t="shared" si="6"/>
        <v>113.61281400000001</v>
      </c>
      <c r="N50" s="51">
        <f t="shared" si="6"/>
        <v>119.29345470000001</v>
      </c>
      <c r="O50" s="51">
        <f t="shared" si="6"/>
        <v>124.06519288800001</v>
      </c>
      <c r="P50" s="51">
        <f t="shared" si="6"/>
        <v>129.02780060352001</v>
      </c>
      <c r="Q50" s="51">
        <f t="shared" si="6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7">IFERROR(J50/J$47,0)</f>
        <v>0.26315789473684209</v>
      </c>
      <c r="K51" s="59">
        <f t="shared" si="7"/>
        <v>0.26315789473684209</v>
      </c>
      <c r="L51" s="59">
        <f t="shared" si="7"/>
        <v>0.26315789473684209</v>
      </c>
      <c r="M51" s="59">
        <f t="shared" si="7"/>
        <v>0.26315789473684209</v>
      </c>
      <c r="N51" s="59">
        <f t="shared" si="7"/>
        <v>0.26315789473684209</v>
      </c>
      <c r="O51" s="59">
        <f t="shared" si="7"/>
        <v>0.26315789473684209</v>
      </c>
      <c r="P51" s="59">
        <f t="shared" si="7"/>
        <v>0.26315789473684209</v>
      </c>
      <c r="Q51" s="59">
        <f t="shared" si="7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8">IFERROR(J50/I50-1,0)</f>
        <v>5.0000000000000044E-2</v>
      </c>
      <c r="K52" s="57">
        <f t="shared" si="8"/>
        <v>6.0000000000000053E-2</v>
      </c>
      <c r="L52" s="57">
        <f t="shared" si="8"/>
        <v>7.0000000000000062E-2</v>
      </c>
      <c r="M52" s="57">
        <f t="shared" si="8"/>
        <v>6.0000000000000053E-2</v>
      </c>
      <c r="N52" s="57">
        <f t="shared" si="8"/>
        <v>5.0000000000000044E-2</v>
      </c>
      <c r="O52" s="57">
        <f t="shared" si="8"/>
        <v>4.0000000000000036E-2</v>
      </c>
      <c r="P52" s="57">
        <f t="shared" si="8"/>
        <v>4.0000000000000036E-2</v>
      </c>
      <c r="Q52" s="57">
        <f t="shared" si="8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9">-K47*K72</f>
        <v>-18.920999999999999</v>
      </c>
      <c r="L54" s="49">
        <f t="shared" si="9"/>
        <v>-20.245470000000001</v>
      </c>
      <c r="M54" s="49">
        <f t="shared" si="9"/>
        <v>-21.460198200000001</v>
      </c>
      <c r="N54" s="49">
        <f t="shared" si="9"/>
        <v>-22.533208110000004</v>
      </c>
      <c r="O54" s="49">
        <f t="shared" si="9"/>
        <v>-23.434536434400002</v>
      </c>
      <c r="P54" s="49">
        <f t="shared" si="9"/>
        <v>-24.371917891776004</v>
      </c>
      <c r="Q54" s="49">
        <f t="shared" si="9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 t="shared" ref="J55:Q55" si="10">J54+J50</f>
        <v>76.650000000000006</v>
      </c>
      <c r="K55" s="51">
        <f t="shared" si="10"/>
        <v>81.248999999999995</v>
      </c>
      <c r="L55" s="51">
        <f t="shared" si="10"/>
        <v>86.936430000000016</v>
      </c>
      <c r="M55" s="51">
        <f t="shared" si="10"/>
        <v>92.152615800000007</v>
      </c>
      <c r="N55" s="51">
        <f t="shared" si="10"/>
        <v>96.760246590000008</v>
      </c>
      <c r="O55" s="51">
        <f t="shared" si="10"/>
        <v>100.63065645360001</v>
      </c>
      <c r="P55" s="51">
        <f t="shared" si="10"/>
        <v>104.655882711744</v>
      </c>
      <c r="Q55" s="51">
        <f t="shared" si="10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" si="11">IFERROR(J55/J$47,0)</f>
        <v>0.21345029239766083</v>
      </c>
      <c r="K56" s="59">
        <f t="shared" ref="K56" si="12">IFERROR(K55/K$47,0)</f>
        <v>0.21345029239766081</v>
      </c>
      <c r="L56" s="59">
        <f>IFERROR(L55/L$47,0)</f>
        <v>0.21345029239766083</v>
      </c>
      <c r="M56" s="59">
        <f t="shared" ref="M56" si="13">IFERROR(M55/M$47,0)</f>
        <v>0.21345029239766081</v>
      </c>
      <c r="N56" s="59">
        <f t="shared" ref="N56" si="14">IFERROR(N55/N$47,0)</f>
        <v>0.21345029239766081</v>
      </c>
      <c r="O56" s="59">
        <f t="shared" ref="O56" si="15">IFERROR(O55/O$47,0)</f>
        <v>0.21345029239766081</v>
      </c>
      <c r="P56" s="59">
        <f t="shared" ref="P56" si="16">IFERROR(P55/P$47,0)</f>
        <v>0.21345029239766078</v>
      </c>
      <c r="Q56" s="59">
        <f t="shared" ref="Q56" si="17">IFERROR(Q55/Q$47,0)</f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8">IFERROR(J55/I55-1,0)</f>
        <v>5.0000000000000044E-2</v>
      </c>
      <c r="K57" s="57">
        <f t="shared" si="18"/>
        <v>5.9999999999999831E-2</v>
      </c>
      <c r="L57" s="57">
        <f t="shared" si="18"/>
        <v>7.0000000000000284E-2</v>
      </c>
      <c r="M57" s="57">
        <f t="shared" si="18"/>
        <v>5.9999999999999831E-2</v>
      </c>
      <c r="N57" s="57">
        <f t="shared" si="18"/>
        <v>5.0000000000000044E-2</v>
      </c>
      <c r="O57" s="57">
        <f t="shared" si="18"/>
        <v>4.0000000000000036E-2</v>
      </c>
      <c r="P57" s="57">
        <f t="shared" si="18"/>
        <v>3.9999999999999813E-2</v>
      </c>
      <c r="Q57" s="57">
        <f t="shared" si="18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>
        <f ca="1">IF($G$59=1,-J$263,0)</f>
        <v>-35.476252613359463</v>
      </c>
      <c r="K59" s="49">
        <f t="shared" ref="K59:Q59" ca="1" si="19">IF($G$59=1,-K$263,0)</f>
        <v>-36.358157845385179</v>
      </c>
      <c r="L59" s="49">
        <f t="shared" ca="1" si="19"/>
        <v>-36.372698600635189</v>
      </c>
      <c r="M59" s="49">
        <f t="shared" ca="1" si="19"/>
        <v>-36.106644361103776</v>
      </c>
      <c r="N59" s="49">
        <f t="shared" ca="1" si="19"/>
        <v>-34.641392148705954</v>
      </c>
      <c r="O59" s="49">
        <f t="shared" ca="1" si="19"/>
        <v>-32.675249807673431</v>
      </c>
      <c r="P59" s="49">
        <f t="shared" ca="1" si="19"/>
        <v>-29.432608722760747</v>
      </c>
      <c r="Q59" s="49">
        <f t="shared" ca="1" si="19"/>
        <v>-26.260457929578127</v>
      </c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 ca="1">J59+J55</f>
        <v>41.173747386640542</v>
      </c>
      <c r="K60" s="51">
        <f t="shared" ref="K60:Q60" ca="1" si="20">K59+K55</f>
        <v>44.890842154614816</v>
      </c>
      <c r="L60" s="51">
        <f t="shared" ca="1" si="20"/>
        <v>50.563731399364826</v>
      </c>
      <c r="M60" s="51">
        <f t="shared" ca="1" si="20"/>
        <v>56.045971438896231</v>
      </c>
      <c r="N60" s="51">
        <f t="shared" ca="1" si="20"/>
        <v>62.118854441294054</v>
      </c>
      <c r="O60" s="51">
        <f t="shared" ca="1" si="20"/>
        <v>67.955406645926587</v>
      </c>
      <c r="P60" s="51">
        <f t="shared" ca="1" si="20"/>
        <v>75.223273988983252</v>
      </c>
      <c r="Q60" s="51">
        <f t="shared" ca="1" si="20"/>
        <v>82.581660090635651</v>
      </c>
    </row>
    <row r="61" spans="2:17" x14ac:dyDescent="0.2">
      <c r="B61" s="20"/>
    </row>
    <row r="62" spans="2:17" x14ac:dyDescent="0.2">
      <c r="B62" s="20" t="s">
        <v>96</v>
      </c>
      <c r="J62" s="49">
        <f ca="1">-J60*$H$36</f>
        <v>-14.410811585324188</v>
      </c>
      <c r="K62" s="49">
        <f t="shared" ref="K62:Q62" ca="1" si="21">-K60*$H$36</f>
        <v>-15.711794754115184</v>
      </c>
      <c r="L62" s="49">
        <f t="shared" ca="1" si="21"/>
        <v>-17.697305989777689</v>
      </c>
      <c r="M62" s="49">
        <f t="shared" ca="1" si="21"/>
        <v>-19.616090003613678</v>
      </c>
      <c r="N62" s="49">
        <f t="shared" ca="1" si="21"/>
        <v>-21.741599054452919</v>
      </c>
      <c r="O62" s="49">
        <f t="shared" ca="1" si="21"/>
        <v>-23.784392326074304</v>
      </c>
      <c r="P62" s="49">
        <f t="shared" ca="1" si="21"/>
        <v>-26.328145896144136</v>
      </c>
      <c r="Q62" s="49">
        <f t="shared" ca="1" si="21"/>
        <v>-28.903581031722474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 ca="1">J62+J60</f>
        <v>26.762935801316353</v>
      </c>
      <c r="K63" s="51">
        <f t="shared" ref="K63:Q63" ca="1" si="22">K62+K60</f>
        <v>29.179047400499634</v>
      </c>
      <c r="L63" s="51">
        <f t="shared" ca="1" si="22"/>
        <v>32.866425409587137</v>
      </c>
      <c r="M63" s="51">
        <f t="shared" ca="1" si="22"/>
        <v>36.429881435282553</v>
      </c>
      <c r="N63" s="51">
        <f t="shared" ca="1" si="22"/>
        <v>40.377255386841135</v>
      </c>
      <c r="O63" s="51">
        <f t="shared" ca="1" si="22"/>
        <v>44.171014319852283</v>
      </c>
      <c r="P63" s="51">
        <f t="shared" ca="1" si="22"/>
        <v>48.895128092839116</v>
      </c>
      <c r="Q63" s="51">
        <f t="shared" ca="1" si="22"/>
        <v>53.678079058913177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" ca="1" si="23">IFERROR(J63/J$47,0)</f>
        <v>7.4527807856631448E-2</v>
      </c>
      <c r="K64" s="59">
        <f t="shared" ref="K64" ca="1" si="24">IFERROR(K63/K$47,0)</f>
        <v>7.6656650537506324E-2</v>
      </c>
      <c r="L64" s="59">
        <f t="shared" ref="L64" ca="1" si="25">IFERROR(L63/L$47,0)</f>
        <v>8.0695148325532609E-2</v>
      </c>
      <c r="M64" s="59">
        <f t="shared" ref="M64" ca="1" si="26">IFERROR(M63/M$47,0)</f>
        <v>8.4381422891450633E-2</v>
      </c>
      <c r="N64" s="59">
        <f t="shared" ref="N64" ca="1" si="27">IFERROR(N63/N$47,0)</f>
        <v>8.9071052134203368E-2</v>
      </c>
      <c r="O64" s="59">
        <f t="shared" ref="O64" ca="1" si="28">IFERROR(O63/O$47,0)</f>
        <v>9.3692282792779483E-2</v>
      </c>
      <c r="P64" s="59">
        <f t="shared" ref="P64" ca="1" si="29">IFERROR(P63/P$47,0)</f>
        <v>9.9723772021335519E-2</v>
      </c>
      <c r="Q64" s="59">
        <f t="shared" ref="Q64" ca="1" si="30">IFERROR(Q63/Q$47,0)</f>
        <v>0.10526808811586987</v>
      </c>
    </row>
    <row r="65" spans="1:25" x14ac:dyDescent="0.2">
      <c r="C65" s="8" t="s">
        <v>89</v>
      </c>
      <c r="I65" s="57">
        <f>IFERROR(I63/H63-1,0)</f>
        <v>0</v>
      </c>
      <c r="J65" s="57">
        <f t="shared" ref="J65:Q65" ca="1" si="31">IFERROR(J63/I63-1,0)</f>
        <v>0</v>
      </c>
      <c r="K65" s="57">
        <f t="shared" ca="1" si="31"/>
        <v>9.0278272052068509E-2</v>
      </c>
      <c r="L65" s="57">
        <f t="shared" ca="1" si="31"/>
        <v>0.12637074673741289</v>
      </c>
      <c r="M65" s="57">
        <f t="shared" ca="1" si="31"/>
        <v>0.10842237880411409</v>
      </c>
      <c r="N65" s="57">
        <f t="shared" ca="1" si="31"/>
        <v>0.10835538838003256</v>
      </c>
      <c r="O65" s="57">
        <f t="shared" ca="1" si="31"/>
        <v>9.3957820972832229E-2</v>
      </c>
      <c r="P65" s="57">
        <f t="shared" ca="1" si="31"/>
        <v>0.10695053862196735</v>
      </c>
      <c r="Q65" s="57">
        <f t="shared" ca="1" si="31"/>
        <v>9.7820604069028816E-2</v>
      </c>
    </row>
    <row r="68" spans="1:25" x14ac:dyDescent="0.2">
      <c r="B68" s="22" t="s">
        <v>98</v>
      </c>
      <c r="J68" s="63"/>
    </row>
    <row r="69" spans="1:25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32">O69</f>
        <v>0.04</v>
      </c>
      <c r="Q69" s="61">
        <f t="shared" si="32"/>
        <v>0.04</v>
      </c>
    </row>
    <row r="70" spans="1:25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0" si="33">J70</f>
        <v>0.4</v>
      </c>
      <c r="L70" s="61">
        <f t="shared" si="33"/>
        <v>0.4</v>
      </c>
      <c r="M70" s="61">
        <f t="shared" si="33"/>
        <v>0.4</v>
      </c>
      <c r="N70" s="61">
        <f t="shared" si="33"/>
        <v>0.4</v>
      </c>
      <c r="O70" s="61">
        <f t="shared" si="33"/>
        <v>0.4</v>
      </c>
      <c r="P70" s="61">
        <f t="shared" si="33"/>
        <v>0.4</v>
      </c>
      <c r="Q70" s="61">
        <f t="shared" si="33"/>
        <v>0.4</v>
      </c>
    </row>
    <row r="71" spans="1:25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ref="K71:Q71" si="34">J71</f>
        <v>0.26315789473684209</v>
      </c>
      <c r="L71" s="62">
        <f t="shared" si="34"/>
        <v>0.26315789473684209</v>
      </c>
      <c r="M71" s="62">
        <f t="shared" si="34"/>
        <v>0.26315789473684209</v>
      </c>
      <c r="N71" s="62">
        <f t="shared" si="34"/>
        <v>0.26315789473684209</v>
      </c>
      <c r="O71" s="62">
        <f t="shared" si="34"/>
        <v>0.26315789473684209</v>
      </c>
      <c r="P71" s="62">
        <f t="shared" si="34"/>
        <v>0.26315789473684209</v>
      </c>
      <c r="Q71" s="62">
        <f t="shared" si="34"/>
        <v>0.26315789473684209</v>
      </c>
    </row>
    <row r="72" spans="1:25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ref="K72:Q72" si="35">J72</f>
        <v>4.9707602339181284E-2</v>
      </c>
      <c r="L72" s="62">
        <f t="shared" si="35"/>
        <v>4.9707602339181284E-2</v>
      </c>
      <c r="M72" s="62">
        <f t="shared" si="35"/>
        <v>4.9707602339181284E-2</v>
      </c>
      <c r="N72" s="62">
        <f t="shared" si="35"/>
        <v>4.9707602339181284E-2</v>
      </c>
      <c r="O72" s="62">
        <f t="shared" si="35"/>
        <v>4.9707602339181284E-2</v>
      </c>
      <c r="P72" s="62">
        <f t="shared" si="35"/>
        <v>4.9707602339181284E-2</v>
      </c>
      <c r="Q72" s="62">
        <f t="shared" si="35"/>
        <v>4.9707602339181284E-2</v>
      </c>
    </row>
    <row r="73" spans="1:25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ref="K73:Q73" si="36">J73</f>
        <v>4.9707602339181284E-2</v>
      </c>
      <c r="L73" s="76">
        <f t="shared" si="36"/>
        <v>4.9707602339181284E-2</v>
      </c>
      <c r="M73" s="76">
        <f t="shared" si="36"/>
        <v>4.9707602339181284E-2</v>
      </c>
      <c r="N73" s="76">
        <f t="shared" si="36"/>
        <v>4.9707602339181284E-2</v>
      </c>
      <c r="O73" s="76">
        <f t="shared" si="36"/>
        <v>4.9707602339181284E-2</v>
      </c>
      <c r="P73" s="76">
        <f t="shared" si="36"/>
        <v>4.9707602339181284E-2</v>
      </c>
      <c r="Q73" s="76">
        <f t="shared" si="36"/>
        <v>4.9707602339181284E-2</v>
      </c>
    </row>
    <row r="74" spans="1:25" x14ac:dyDescent="0.2">
      <c r="H74" s="63"/>
      <c r="I74" s="63"/>
    </row>
    <row r="75" spans="1:25" x14ac:dyDescent="0.2">
      <c r="H75" s="63"/>
      <c r="I75" s="63"/>
    </row>
    <row r="76" spans="1:25" x14ac:dyDescent="0.2">
      <c r="H76" s="63"/>
      <c r="I76" s="63"/>
    </row>
    <row r="77" spans="1:25" x14ac:dyDescent="0.2">
      <c r="A77" s="5" t="s">
        <v>35</v>
      </c>
      <c r="B77" s="6" t="s">
        <v>137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B78" s="8" t="s">
        <v>37</v>
      </c>
    </row>
    <row r="80" spans="1:25" x14ac:dyDescent="0.2">
      <c r="B80" s="8" t="s">
        <v>88</v>
      </c>
      <c r="H80" s="53">
        <v>42369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>
        <f>H47</f>
        <v>327</v>
      </c>
      <c r="I84" s="82">
        <f t="shared" ref="I84:Q84" si="37">I47</f>
        <v>342</v>
      </c>
      <c r="J84" s="82">
        <f t="shared" si="37"/>
        <v>359.1</v>
      </c>
      <c r="K84" s="82">
        <f t="shared" si="37"/>
        <v>380.64600000000002</v>
      </c>
      <c r="L84" s="82">
        <f t="shared" si="37"/>
        <v>407.29122000000007</v>
      </c>
      <c r="M84" s="82">
        <f t="shared" si="37"/>
        <v>431.72869320000007</v>
      </c>
      <c r="N84" s="82">
        <f t="shared" si="37"/>
        <v>453.31512786000008</v>
      </c>
      <c r="O84" s="82">
        <f t="shared" si="37"/>
        <v>471.44773297440008</v>
      </c>
      <c r="P84" s="82">
        <f t="shared" si="37"/>
        <v>490.30564229337608</v>
      </c>
      <c r="Q84" s="82">
        <f t="shared" si="37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>
        <f>H70*H84</f>
        <v>130.80000000000001</v>
      </c>
      <c r="I85" s="87">
        <f t="shared" ref="I85:Q85" si="38">I70*I84</f>
        <v>136.80000000000001</v>
      </c>
      <c r="J85" s="87">
        <f t="shared" si="38"/>
        <v>143.64000000000001</v>
      </c>
      <c r="K85" s="87">
        <f t="shared" si="38"/>
        <v>152.25840000000002</v>
      </c>
      <c r="L85" s="87">
        <f t="shared" si="38"/>
        <v>162.91648800000004</v>
      </c>
      <c r="M85" s="87">
        <f t="shared" si="38"/>
        <v>172.69147728000004</v>
      </c>
      <c r="N85" s="87">
        <f t="shared" si="38"/>
        <v>181.32605114400005</v>
      </c>
      <c r="O85" s="87">
        <f t="shared" si="38"/>
        <v>188.57909318976004</v>
      </c>
      <c r="P85" s="87">
        <f t="shared" si="38"/>
        <v>196.12225691735046</v>
      </c>
      <c r="Q85" s="87">
        <f t="shared" si="38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I98/I84*$F$87</f>
        <v>94.73684210526315</v>
      </c>
      <c r="J88" s="92">
        <f>I88</f>
        <v>94.73684210526315</v>
      </c>
      <c r="K88" s="92">
        <f t="shared" ref="K88:Q88" si="39">J88</f>
        <v>94.73684210526315</v>
      </c>
      <c r="L88" s="92">
        <f t="shared" si="39"/>
        <v>94.73684210526315</v>
      </c>
      <c r="M88" s="92">
        <f t="shared" si="39"/>
        <v>94.73684210526315</v>
      </c>
      <c r="N88" s="92">
        <f t="shared" si="39"/>
        <v>94.73684210526315</v>
      </c>
      <c r="O88" s="92">
        <f t="shared" si="39"/>
        <v>94.73684210526315</v>
      </c>
      <c r="P88" s="92">
        <f t="shared" si="39"/>
        <v>94.73684210526315</v>
      </c>
      <c r="Q88" s="92">
        <f t="shared" si="39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I99/I85*$F$87</f>
        <v>118.42105263157893</v>
      </c>
      <c r="J89" s="93">
        <f t="shared" ref="J89:Q90" si="40">I89</f>
        <v>118.42105263157893</v>
      </c>
      <c r="K89" s="93">
        <f t="shared" si="40"/>
        <v>118.42105263157893</v>
      </c>
      <c r="L89" s="93">
        <f t="shared" si="40"/>
        <v>118.42105263157893</v>
      </c>
      <c r="M89" s="93">
        <f t="shared" si="40"/>
        <v>118.42105263157893</v>
      </c>
      <c r="N89" s="93">
        <f t="shared" si="40"/>
        <v>118.42105263157893</v>
      </c>
      <c r="O89" s="93">
        <f t="shared" si="40"/>
        <v>118.42105263157893</v>
      </c>
      <c r="P89" s="93">
        <f t="shared" si="40"/>
        <v>118.42105263157893</v>
      </c>
      <c r="Q89" s="93">
        <f t="shared" si="40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I103/I85*$F$87</f>
        <v>115.78947368421052</v>
      </c>
      <c r="J90" s="94">
        <f t="shared" si="40"/>
        <v>115.78947368421052</v>
      </c>
      <c r="K90" s="94">
        <f t="shared" si="40"/>
        <v>115.78947368421052</v>
      </c>
      <c r="L90" s="94">
        <f t="shared" si="40"/>
        <v>115.78947368421052</v>
      </c>
      <c r="M90" s="94">
        <f t="shared" si="40"/>
        <v>115.78947368421052</v>
      </c>
      <c r="N90" s="94">
        <f t="shared" si="40"/>
        <v>115.78947368421052</v>
      </c>
      <c r="O90" s="94">
        <f t="shared" si="40"/>
        <v>115.78947368421052</v>
      </c>
      <c r="P90" s="94">
        <f t="shared" si="40"/>
        <v>115.78947368421052</v>
      </c>
      <c r="Q90" s="94">
        <f t="shared" si="40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>J88+J89-J90</f>
        <v>97.368421052631561</v>
      </c>
      <c r="K91" s="95">
        <f t="shared" ref="K91:Q91" si="41">K88+K89-K90</f>
        <v>97.368421052631561</v>
      </c>
      <c r="L91" s="95">
        <f t="shared" si="41"/>
        <v>97.368421052631561</v>
      </c>
      <c r="M91" s="95">
        <f t="shared" si="41"/>
        <v>97.368421052631561</v>
      </c>
      <c r="N91" s="95">
        <f t="shared" si="41"/>
        <v>97.368421052631561</v>
      </c>
      <c r="O91" s="95">
        <f t="shared" si="41"/>
        <v>97.368421052631561</v>
      </c>
      <c r="P91" s="95">
        <f t="shared" si="41"/>
        <v>97.368421052631561</v>
      </c>
      <c r="Q91" s="95">
        <f t="shared" si="41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42">J93</f>
        <v>2.046783625730994E-2</v>
      </c>
      <c r="L93" s="61">
        <f t="shared" si="42"/>
        <v>2.046783625730994E-2</v>
      </c>
      <c r="M93" s="61">
        <f t="shared" si="42"/>
        <v>2.046783625730994E-2</v>
      </c>
      <c r="N93" s="61">
        <f t="shared" si="42"/>
        <v>2.046783625730994E-2</v>
      </c>
      <c r="O93" s="61">
        <f t="shared" si="42"/>
        <v>2.046783625730994E-2</v>
      </c>
      <c r="P93" s="61">
        <f t="shared" si="42"/>
        <v>2.046783625730994E-2</v>
      </c>
      <c r="Q93" s="61">
        <f t="shared" si="42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>I94</f>
        <v>0.10818713450292397</v>
      </c>
      <c r="K94" s="62">
        <f t="shared" ref="K94:Q94" si="43">J94</f>
        <v>0.10818713450292397</v>
      </c>
      <c r="L94" s="62">
        <f t="shared" si="43"/>
        <v>0.10818713450292397</v>
      </c>
      <c r="M94" s="62">
        <f t="shared" si="43"/>
        <v>0.10818713450292397</v>
      </c>
      <c r="N94" s="62">
        <f t="shared" si="43"/>
        <v>0.10818713450292397</v>
      </c>
      <c r="O94" s="62">
        <f t="shared" si="43"/>
        <v>0.10818713450292397</v>
      </c>
      <c r="P94" s="62">
        <f t="shared" si="43"/>
        <v>0.10818713450292397</v>
      </c>
      <c r="Q94" s="62">
        <f t="shared" si="43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ref="J95:Q95" si="44">I95</f>
        <v>8.771929824561403E-3</v>
      </c>
      <c r="K95" s="76">
        <f t="shared" si="44"/>
        <v>8.771929824561403E-3</v>
      </c>
      <c r="L95" s="76">
        <f t="shared" si="44"/>
        <v>8.771929824561403E-3</v>
      </c>
      <c r="M95" s="76">
        <f t="shared" si="44"/>
        <v>8.771929824561403E-3</v>
      </c>
      <c r="N95" s="76">
        <f t="shared" si="44"/>
        <v>8.771929824561403E-3</v>
      </c>
      <c r="O95" s="76">
        <f t="shared" si="44"/>
        <v>8.771929824561403E-3</v>
      </c>
      <c r="P95" s="76">
        <f t="shared" si="44"/>
        <v>8.771929824561403E-3</v>
      </c>
      <c r="Q95" s="76">
        <f t="shared" si="44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8" si="45">K88/$F$87*K84</f>
        <v>100.17</v>
      </c>
      <c r="L98" s="82">
        <f t="shared" si="45"/>
        <v>107.18190000000001</v>
      </c>
      <c r="M98" s="82">
        <f t="shared" si="45"/>
        <v>113.61281400000001</v>
      </c>
      <c r="N98" s="82">
        <f t="shared" si="45"/>
        <v>119.29345470000001</v>
      </c>
      <c r="O98" s="82">
        <f t="shared" si="45"/>
        <v>124.06519288800001</v>
      </c>
      <c r="P98" s="82">
        <f t="shared" si="45"/>
        <v>129.02780060352001</v>
      </c>
      <c r="Q98" s="82">
        <f t="shared" si="45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>H121</f>
        <v>45</v>
      </c>
      <c r="J99" s="72">
        <f>J89/$F$87*J$85</f>
        <v>47.25</v>
      </c>
      <c r="K99" s="72">
        <f t="shared" ref="K99:Q99" si="46">K89/$F$87*K$85</f>
        <v>50.085000000000001</v>
      </c>
      <c r="L99" s="72">
        <f t="shared" si="46"/>
        <v>53.590950000000007</v>
      </c>
      <c r="M99" s="72">
        <f t="shared" si="46"/>
        <v>56.806407000000007</v>
      </c>
      <c r="N99" s="72">
        <f t="shared" si="46"/>
        <v>59.646727350000006</v>
      </c>
      <c r="O99" s="72">
        <f t="shared" si="46"/>
        <v>62.032596444000006</v>
      </c>
      <c r="P99" s="72">
        <f t="shared" si="46"/>
        <v>64.513900301760017</v>
      </c>
      <c r="Q99" s="72">
        <f t="shared" si="46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>H122</f>
        <v>7</v>
      </c>
      <c r="J100" s="73">
        <f>J93*J84</f>
        <v>7.35</v>
      </c>
      <c r="K100" s="73">
        <f t="shared" ref="K100:Q100" si="47">K93*K84</f>
        <v>7.7909999999999995</v>
      </c>
      <c r="L100" s="73">
        <f t="shared" si="47"/>
        <v>8.3363700000000005</v>
      </c>
      <c r="M100" s="73">
        <f t="shared" si="47"/>
        <v>8.8365522000000016</v>
      </c>
      <c r="N100" s="73">
        <f t="shared" si="47"/>
        <v>9.2783798100000006</v>
      </c>
      <c r="O100" s="73">
        <f t="shared" si="47"/>
        <v>9.6495150024000012</v>
      </c>
      <c r="P100" s="73">
        <f t="shared" si="47"/>
        <v>10.035495602496001</v>
      </c>
      <c r="Q100" s="73">
        <f t="shared" si="47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48">SUM(K98:K100)</f>
        <v>158.04599999999999</v>
      </c>
      <c r="L101" s="51">
        <f t="shared" si="48"/>
        <v>169.10921999999999</v>
      </c>
      <c r="M101" s="51">
        <f t="shared" si="48"/>
        <v>179.25577320000002</v>
      </c>
      <c r="N101" s="51">
        <f t="shared" si="48"/>
        <v>188.21856186000002</v>
      </c>
      <c r="O101" s="51">
        <f t="shared" si="48"/>
        <v>195.74730433440001</v>
      </c>
      <c r="P101" s="51">
        <f t="shared" si="48"/>
        <v>203.57719650777605</v>
      </c>
      <c r="Q101" s="51">
        <f t="shared" si="48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49">K90/$F$87*K85</f>
        <v>48.972000000000001</v>
      </c>
      <c r="L103" s="82">
        <f t="shared" si="49"/>
        <v>52.400040000000011</v>
      </c>
      <c r="M103" s="82">
        <f t="shared" si="49"/>
        <v>55.544042400000009</v>
      </c>
      <c r="N103" s="82">
        <f t="shared" si="49"/>
        <v>58.321244520000015</v>
      </c>
      <c r="O103" s="82">
        <f t="shared" si="49"/>
        <v>60.654094300800011</v>
      </c>
      <c r="P103" s="82">
        <f t="shared" si="49"/>
        <v>63.080258072832017</v>
      </c>
      <c r="Q103" s="82">
        <f t="shared" si="49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50">H131</f>
        <v>37</v>
      </c>
      <c r="J104" s="72">
        <f>J94*J84</f>
        <v>38.85</v>
      </c>
      <c r="K104" s="72">
        <f t="shared" ref="K104:Q104" si="51">K94*K84</f>
        <v>41.180999999999997</v>
      </c>
      <c r="L104" s="72">
        <f t="shared" si="51"/>
        <v>44.063670000000002</v>
      </c>
      <c r="M104" s="72">
        <f t="shared" si="51"/>
        <v>46.707490200000002</v>
      </c>
      <c r="N104" s="72">
        <f t="shared" si="51"/>
        <v>49.042864710000003</v>
      </c>
      <c r="O104" s="72">
        <f t="shared" si="51"/>
        <v>51.004579298400003</v>
      </c>
      <c r="P104" s="72">
        <f t="shared" si="51"/>
        <v>53.044762470336003</v>
      </c>
      <c r="Q104" s="72">
        <f t="shared" si="51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50"/>
        <v>3</v>
      </c>
      <c r="J105" s="73">
        <f>J95*J84</f>
        <v>3.15</v>
      </c>
      <c r="K105" s="73">
        <f t="shared" ref="K105:Q105" si="52">K95*K84</f>
        <v>3.339</v>
      </c>
      <c r="L105" s="73">
        <f t="shared" si="52"/>
        <v>3.5727300000000004</v>
      </c>
      <c r="M105" s="73">
        <f t="shared" si="52"/>
        <v>3.7870938000000005</v>
      </c>
      <c r="N105" s="73">
        <f t="shared" si="52"/>
        <v>3.9764484900000006</v>
      </c>
      <c r="O105" s="73">
        <f t="shared" si="52"/>
        <v>4.1355064296000004</v>
      </c>
      <c r="P105" s="73">
        <f t="shared" si="52"/>
        <v>4.3009266867840008</v>
      </c>
      <c r="Q105" s="73">
        <f t="shared" si="52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53">SUM(K103:K105)</f>
        <v>93.49199999999999</v>
      </c>
      <c r="L106" s="51">
        <f t="shared" si="53"/>
        <v>100.03644000000003</v>
      </c>
      <c r="M106" s="51">
        <f t="shared" si="53"/>
        <v>106.03862640000001</v>
      </c>
      <c r="N106" s="51">
        <f t="shared" si="53"/>
        <v>111.34055772000002</v>
      </c>
      <c r="O106" s="51">
        <f t="shared" si="53"/>
        <v>115.79418002880001</v>
      </c>
      <c r="P106" s="51">
        <f t="shared" si="53"/>
        <v>120.42594722995202</v>
      </c>
      <c r="Q106" s="51">
        <f t="shared" si="53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>J101-J106</f>
        <v>60.899999999999977</v>
      </c>
      <c r="K108" s="51">
        <f t="shared" ref="K108:Q108" si="54">K101-K106</f>
        <v>64.554000000000002</v>
      </c>
      <c r="L108" s="51">
        <f t="shared" si="54"/>
        <v>69.072779999999966</v>
      </c>
      <c r="M108" s="51">
        <f t="shared" si="54"/>
        <v>73.217146800000009</v>
      </c>
      <c r="N108" s="51">
        <f t="shared" si="54"/>
        <v>76.878004140000002</v>
      </c>
      <c r="O108" s="51">
        <f t="shared" si="54"/>
        <v>79.953124305599999</v>
      </c>
      <c r="P108" s="51">
        <f t="shared" si="54"/>
        <v>83.151249277824036</v>
      </c>
      <c r="Q108" s="51">
        <f t="shared" si="54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55">J108-K108</f>
        <v>-3.6540000000000248</v>
      </c>
      <c r="L109" s="49">
        <f t="shared" si="55"/>
        <v>-4.518779999999964</v>
      </c>
      <c r="M109" s="49">
        <f t="shared" si="55"/>
        <v>-4.1443668000000429</v>
      </c>
      <c r="N109" s="49">
        <f t="shared" si="55"/>
        <v>-3.6608573399999926</v>
      </c>
      <c r="O109" s="49">
        <f t="shared" si="55"/>
        <v>-3.0751201655999978</v>
      </c>
      <c r="P109" s="49">
        <f t="shared" si="55"/>
        <v>-3.1981249722240364</v>
      </c>
      <c r="Q109" s="49">
        <f t="shared" si="55"/>
        <v>-3.326049971112937</v>
      </c>
    </row>
    <row r="113" spans="1:25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B114" s="8" t="s">
        <v>37</v>
      </c>
    </row>
    <row r="116" spans="1:25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5" ht="3" customHeight="1" x14ac:dyDescent="0.2"/>
    <row r="118" spans="1:25" x14ac:dyDescent="0.2">
      <c r="B118" s="22" t="s">
        <v>103</v>
      </c>
    </row>
    <row r="119" spans="1:25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>
        <f ca="1">J167</f>
        <v>5</v>
      </c>
      <c r="K119" s="82">
        <f t="shared" ref="K119:Q119" ca="1" si="56">K167</f>
        <v>5</v>
      </c>
      <c r="L119" s="82">
        <f t="shared" ca="1" si="56"/>
        <v>5</v>
      </c>
      <c r="M119" s="82">
        <f t="shared" ca="1" si="56"/>
        <v>5</v>
      </c>
      <c r="N119" s="82">
        <f t="shared" ca="1" si="56"/>
        <v>5</v>
      </c>
      <c r="O119" s="82">
        <f t="shared" ca="1" si="56"/>
        <v>5</v>
      </c>
      <c r="P119" s="82">
        <f t="shared" ca="1" si="56"/>
        <v>5</v>
      </c>
      <c r="Q119" s="82">
        <f t="shared" ca="1" si="56"/>
        <v>5</v>
      </c>
    </row>
    <row r="120" spans="1:25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>
        <f>J98</f>
        <v>94.5</v>
      </c>
      <c r="K120" s="72">
        <f t="shared" ref="K120:Q120" si="57">K98</f>
        <v>100.17</v>
      </c>
      <c r="L120" s="72">
        <f t="shared" si="57"/>
        <v>107.18190000000001</v>
      </c>
      <c r="M120" s="72">
        <f t="shared" si="57"/>
        <v>113.61281400000001</v>
      </c>
      <c r="N120" s="72">
        <f t="shared" si="57"/>
        <v>119.29345470000001</v>
      </c>
      <c r="O120" s="72">
        <f t="shared" si="57"/>
        <v>124.06519288800001</v>
      </c>
      <c r="P120" s="72">
        <f t="shared" si="57"/>
        <v>129.02780060352001</v>
      </c>
      <c r="Q120" s="72">
        <f t="shared" si="57"/>
        <v>134.18891262766081</v>
      </c>
    </row>
    <row r="121" spans="1:25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>H121</f>
        <v>45</v>
      </c>
      <c r="J121" s="72">
        <f t="shared" ref="J121:Q122" si="58">J99</f>
        <v>47.25</v>
      </c>
      <c r="K121" s="72">
        <f t="shared" si="58"/>
        <v>50.085000000000001</v>
      </c>
      <c r="L121" s="72">
        <f t="shared" si="58"/>
        <v>53.590950000000007</v>
      </c>
      <c r="M121" s="72">
        <f t="shared" si="58"/>
        <v>56.806407000000007</v>
      </c>
      <c r="N121" s="72">
        <f t="shared" si="58"/>
        <v>59.646727350000006</v>
      </c>
      <c r="O121" s="72">
        <f t="shared" si="58"/>
        <v>62.032596444000006</v>
      </c>
      <c r="P121" s="72">
        <f t="shared" si="58"/>
        <v>64.513900301760017</v>
      </c>
      <c r="Q121" s="72">
        <f t="shared" si="58"/>
        <v>67.094456313830406</v>
      </c>
    </row>
    <row r="122" spans="1:25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3">
        <f>H122</f>
        <v>7</v>
      </c>
      <c r="J122" s="73">
        <f t="shared" si="58"/>
        <v>7.35</v>
      </c>
      <c r="K122" s="73">
        <f t="shared" si="58"/>
        <v>7.7909999999999995</v>
      </c>
      <c r="L122" s="73">
        <f t="shared" si="58"/>
        <v>8.3363700000000005</v>
      </c>
      <c r="M122" s="73">
        <f t="shared" si="58"/>
        <v>8.8365522000000016</v>
      </c>
      <c r="N122" s="73">
        <f t="shared" si="58"/>
        <v>9.2783798100000006</v>
      </c>
      <c r="O122" s="73">
        <f t="shared" si="58"/>
        <v>9.6495150024000012</v>
      </c>
      <c r="P122" s="73">
        <f t="shared" si="58"/>
        <v>10.035495602496001</v>
      </c>
      <c r="Q122" s="73">
        <f t="shared" si="58"/>
        <v>10.43691542659584</v>
      </c>
    </row>
    <row r="123" spans="1:25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>
        <f ca="1">SUM(J119:J122)</f>
        <v>154.1</v>
      </c>
      <c r="K123" s="51">
        <f t="shared" ref="K123:Q123" ca="1" si="59">SUM(K119:K122)</f>
        <v>163.04599999999999</v>
      </c>
      <c r="L123" s="51">
        <f t="shared" ca="1" si="59"/>
        <v>174.10921999999999</v>
      </c>
      <c r="M123" s="51">
        <f t="shared" ca="1" si="59"/>
        <v>184.25577320000002</v>
      </c>
      <c r="N123" s="51">
        <f t="shared" ca="1" si="59"/>
        <v>193.21856186000002</v>
      </c>
      <c r="O123" s="51">
        <f t="shared" ca="1" si="59"/>
        <v>200.74730433440001</v>
      </c>
      <c r="P123" s="51">
        <f t="shared" ca="1" si="59"/>
        <v>208.57719650777605</v>
      </c>
      <c r="Q123" s="51">
        <f t="shared" ca="1" si="59"/>
        <v>216.72028436808708</v>
      </c>
    </row>
    <row r="124" spans="1:25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>
        <f>I124-J155-J151</f>
        <v>78</v>
      </c>
      <c r="K124" s="72">
        <f t="shared" ref="K124:Q124" si="60">J124-K155-K151</f>
        <v>78</v>
      </c>
      <c r="L124" s="72">
        <f t="shared" si="60"/>
        <v>78</v>
      </c>
      <c r="M124" s="72">
        <f t="shared" si="60"/>
        <v>78</v>
      </c>
      <c r="N124" s="72">
        <f t="shared" si="60"/>
        <v>78</v>
      </c>
      <c r="O124" s="72">
        <f t="shared" si="60"/>
        <v>78</v>
      </c>
      <c r="P124" s="72">
        <f t="shared" si="60"/>
        <v>78</v>
      </c>
      <c r="Q124" s="72">
        <f t="shared" si="60"/>
        <v>78</v>
      </c>
    </row>
    <row r="125" spans="1:25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>
        <f>I125</f>
        <v>670</v>
      </c>
      <c r="K125" s="72">
        <f t="shared" ref="K125:Q125" si="61">J125</f>
        <v>670</v>
      </c>
      <c r="L125" s="72">
        <f t="shared" si="61"/>
        <v>670</v>
      </c>
      <c r="M125" s="72">
        <f t="shared" si="61"/>
        <v>670</v>
      </c>
      <c r="N125" s="72">
        <f t="shared" si="61"/>
        <v>670</v>
      </c>
      <c r="O125" s="72">
        <f t="shared" si="61"/>
        <v>670</v>
      </c>
      <c r="P125" s="72">
        <f t="shared" si="61"/>
        <v>670</v>
      </c>
      <c r="Q125" s="72">
        <f t="shared" si="61"/>
        <v>670</v>
      </c>
    </row>
    <row r="126" spans="1:25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>
        <f>I126-J260</f>
        <v>15.452083333333334</v>
      </c>
      <c r="K126" s="73">
        <f t="shared" ref="K126:Q126" si="62">J126-K260</f>
        <v>13.966666666666669</v>
      </c>
      <c r="L126" s="73">
        <f t="shared" si="62"/>
        <v>12.481250000000003</v>
      </c>
      <c r="M126" s="73">
        <f t="shared" si="62"/>
        <v>10.995833333333337</v>
      </c>
      <c r="N126" s="73">
        <f t="shared" si="62"/>
        <v>9.5104166666666714</v>
      </c>
      <c r="O126" s="73">
        <f t="shared" si="62"/>
        <v>8.1250000000000053</v>
      </c>
      <c r="P126" s="73">
        <f t="shared" si="62"/>
        <v>7.3125000000000053</v>
      </c>
      <c r="Q126" s="73">
        <f t="shared" si="62"/>
        <v>6.5000000000000053</v>
      </c>
    </row>
    <row r="127" spans="1:25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>
        <f ca="1">SUM(J123:J126)</f>
        <v>917.55208333333337</v>
      </c>
      <c r="K127" s="51">
        <f t="shared" ref="K127:Q127" ca="1" si="63">SUM(K123:K126)</f>
        <v>925.01266666666675</v>
      </c>
      <c r="L127" s="51">
        <f t="shared" ca="1" si="63"/>
        <v>934.5904700000001</v>
      </c>
      <c r="M127" s="51">
        <f t="shared" ca="1" si="63"/>
        <v>943.25160653333342</v>
      </c>
      <c r="N127" s="51">
        <f t="shared" ca="1" si="63"/>
        <v>950.72897852666665</v>
      </c>
      <c r="O127" s="51">
        <f t="shared" ca="1" si="63"/>
        <v>956.87230433440004</v>
      </c>
      <c r="P127" s="51">
        <f t="shared" ca="1" si="63"/>
        <v>963.88969650777608</v>
      </c>
      <c r="Q127" s="51">
        <f t="shared" ca="1" si="63"/>
        <v>971.22028436808705</v>
      </c>
    </row>
    <row r="129" spans="1:25" x14ac:dyDescent="0.2">
      <c r="B129" s="22" t="s">
        <v>107</v>
      </c>
    </row>
    <row r="130" spans="1:25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>
        <f>J103</f>
        <v>46.2</v>
      </c>
      <c r="K130" s="82">
        <f t="shared" ref="K130:Q130" si="64">K103</f>
        <v>48.972000000000001</v>
      </c>
      <c r="L130" s="82">
        <f t="shared" si="64"/>
        <v>52.400040000000011</v>
      </c>
      <c r="M130" s="82">
        <f t="shared" si="64"/>
        <v>55.544042400000009</v>
      </c>
      <c r="N130" s="82">
        <f t="shared" si="64"/>
        <v>58.321244520000015</v>
      </c>
      <c r="O130" s="82">
        <f t="shared" si="64"/>
        <v>60.654094300800011</v>
      </c>
      <c r="P130" s="82">
        <f t="shared" si="64"/>
        <v>63.080258072832017</v>
      </c>
      <c r="Q130" s="82">
        <f t="shared" si="64"/>
        <v>65.603468395745296</v>
      </c>
    </row>
    <row r="131" spans="1:25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65">H131</f>
        <v>37</v>
      </c>
      <c r="J131" s="72">
        <f t="shared" ref="J131:Q131" si="66">J104</f>
        <v>38.85</v>
      </c>
      <c r="K131" s="72">
        <f t="shared" si="66"/>
        <v>41.180999999999997</v>
      </c>
      <c r="L131" s="72">
        <f t="shared" si="66"/>
        <v>44.063670000000002</v>
      </c>
      <c r="M131" s="72">
        <f t="shared" si="66"/>
        <v>46.707490200000002</v>
      </c>
      <c r="N131" s="72">
        <f t="shared" si="66"/>
        <v>49.042864710000003</v>
      </c>
      <c r="O131" s="72">
        <f t="shared" si="66"/>
        <v>51.004579298400003</v>
      </c>
      <c r="P131" s="72">
        <f t="shared" si="66"/>
        <v>53.044762470336003</v>
      </c>
      <c r="Q131" s="72">
        <f t="shared" si="66"/>
        <v>55.166552969149443</v>
      </c>
    </row>
    <row r="132" spans="1:25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65"/>
        <v>3</v>
      </c>
      <c r="J132" s="73">
        <f t="shared" ref="J132:Q132" si="67">J105</f>
        <v>3.15</v>
      </c>
      <c r="K132" s="73">
        <f t="shared" si="67"/>
        <v>3.339</v>
      </c>
      <c r="L132" s="73">
        <f t="shared" si="67"/>
        <v>3.5727300000000004</v>
      </c>
      <c r="M132" s="73">
        <f t="shared" si="67"/>
        <v>3.7870938000000005</v>
      </c>
      <c r="N132" s="73">
        <f t="shared" si="67"/>
        <v>3.9764484900000006</v>
      </c>
      <c r="O132" s="73">
        <f t="shared" si="67"/>
        <v>4.1355064296000004</v>
      </c>
      <c r="P132" s="73">
        <f t="shared" si="67"/>
        <v>4.3009266867840008</v>
      </c>
      <c r="Q132" s="73">
        <f t="shared" si="67"/>
        <v>4.4729637542553604</v>
      </c>
    </row>
    <row r="133" spans="1:25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>
        <f>SUM(J130:J132)</f>
        <v>88.200000000000017</v>
      </c>
      <c r="K133" s="51">
        <f t="shared" ref="K133:Q133" si="68">SUM(K130:K132)</f>
        <v>93.49199999999999</v>
      </c>
      <c r="L133" s="51">
        <f t="shared" si="68"/>
        <v>100.03644000000003</v>
      </c>
      <c r="M133" s="51">
        <f t="shared" si="68"/>
        <v>106.03862640000001</v>
      </c>
      <c r="N133" s="51">
        <f t="shared" si="68"/>
        <v>111.34055772000002</v>
      </c>
      <c r="O133" s="51">
        <f t="shared" si="68"/>
        <v>115.79418002880001</v>
      </c>
      <c r="P133" s="51">
        <f t="shared" si="68"/>
        <v>120.42594722995202</v>
      </c>
      <c r="Q133" s="51">
        <f t="shared" si="68"/>
        <v>125.24298511915011</v>
      </c>
    </row>
    <row r="135" spans="1:25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>
        <f ca="1">J185</f>
        <v>574.65164753201691</v>
      </c>
      <c r="K135" s="82">
        <f t="shared" ref="K135:Q135" ca="1" si="69">K185</f>
        <v>547.64118346485066</v>
      </c>
      <c r="L135" s="82">
        <f t="shared" ca="1" si="69"/>
        <v>517.80812138859687</v>
      </c>
      <c r="M135" s="82">
        <f t="shared" ca="1" si="69"/>
        <v>484.03719008664768</v>
      </c>
      <c r="N135" s="82">
        <f t="shared" ca="1" si="69"/>
        <v>445.83537537313987</v>
      </c>
      <c r="O135" s="82">
        <f t="shared" ca="1" si="69"/>
        <v>403.35406455222085</v>
      </c>
      <c r="P135" s="82">
        <f t="shared" ca="1" si="69"/>
        <v>356.84456143160583</v>
      </c>
      <c r="Q135" s="82">
        <f t="shared" ca="1" si="69"/>
        <v>305.68003234380558</v>
      </c>
    </row>
    <row r="136" spans="1:25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>
        <f>I136</f>
        <v>7</v>
      </c>
      <c r="K136" s="73">
        <f t="shared" ref="K136:Q136" si="70">J136</f>
        <v>7</v>
      </c>
      <c r="L136" s="73">
        <f t="shared" si="70"/>
        <v>7</v>
      </c>
      <c r="M136" s="73">
        <f t="shared" si="70"/>
        <v>7</v>
      </c>
      <c r="N136" s="73">
        <f t="shared" si="70"/>
        <v>7</v>
      </c>
      <c r="O136" s="73">
        <f t="shared" si="70"/>
        <v>7</v>
      </c>
      <c r="P136" s="73">
        <f t="shared" si="70"/>
        <v>7</v>
      </c>
      <c r="Q136" s="73">
        <f t="shared" si="70"/>
        <v>7</v>
      </c>
    </row>
    <row r="137" spans="1:25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>
        <f ca="1">SUM(J135:J136,J133)</f>
        <v>669.85164753201695</v>
      </c>
      <c r="K137" s="90">
        <f t="shared" ref="K137:Q137" ca="1" si="71">SUM(K135:K136,K133)</f>
        <v>648.13318346485062</v>
      </c>
      <c r="L137" s="90">
        <f t="shared" ca="1" si="71"/>
        <v>624.84456138859696</v>
      </c>
      <c r="M137" s="90">
        <f t="shared" ca="1" si="71"/>
        <v>597.07581648664768</v>
      </c>
      <c r="N137" s="90">
        <f t="shared" ca="1" si="71"/>
        <v>564.17593309313986</v>
      </c>
      <c r="O137" s="90">
        <f t="shared" ca="1" si="71"/>
        <v>526.14824458102089</v>
      </c>
      <c r="P137" s="90">
        <f t="shared" ca="1" si="71"/>
        <v>484.27050866155787</v>
      </c>
      <c r="Q137" s="90">
        <f t="shared" ca="1" si="71"/>
        <v>437.92301746295567</v>
      </c>
    </row>
    <row r="139" spans="1:25" x14ac:dyDescent="0.2">
      <c r="B139" s="3" t="s">
        <v>112</v>
      </c>
      <c r="H139" s="60">
        <v>160</v>
      </c>
      <c r="I139" s="49">
        <f>G15+G16-G24</f>
        <v>220.9375</v>
      </c>
      <c r="J139" s="49">
        <f ca="1">I139+J150</f>
        <v>247.70043580131636</v>
      </c>
      <c r="K139" s="49">
        <f t="shared" ref="K139:Q139" ca="1" si="72">J139+K150</f>
        <v>276.87948320181602</v>
      </c>
      <c r="L139" s="49">
        <f t="shared" ca="1" si="72"/>
        <v>309.74590861140314</v>
      </c>
      <c r="M139" s="49">
        <f t="shared" ca="1" si="72"/>
        <v>346.17579004668568</v>
      </c>
      <c r="N139" s="49">
        <f t="shared" ca="1" si="72"/>
        <v>386.55304543352679</v>
      </c>
      <c r="O139" s="49">
        <f t="shared" ca="1" si="72"/>
        <v>430.72405975337909</v>
      </c>
      <c r="P139" s="49">
        <f t="shared" ca="1" si="72"/>
        <v>479.61918784621821</v>
      </c>
      <c r="Q139" s="49">
        <f t="shared" ca="1" si="72"/>
        <v>533.29726690513144</v>
      </c>
    </row>
    <row r="140" spans="1:25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>
        <f ca="1">J137+J139</f>
        <v>917.55208333333326</v>
      </c>
      <c r="K140" s="51">
        <f t="shared" ref="K140:Q140" ca="1" si="73">K137+K139</f>
        <v>925.01266666666663</v>
      </c>
      <c r="L140" s="51">
        <f t="shared" ca="1" si="73"/>
        <v>934.5904700000001</v>
      </c>
      <c r="M140" s="51">
        <f t="shared" ca="1" si="73"/>
        <v>943.25160653333342</v>
      </c>
      <c r="N140" s="51">
        <f t="shared" ca="1" si="73"/>
        <v>950.72897852666665</v>
      </c>
      <c r="O140" s="51">
        <f t="shared" ca="1" si="73"/>
        <v>956.87230433440004</v>
      </c>
      <c r="P140" s="51">
        <f t="shared" ca="1" si="73"/>
        <v>963.88969650777608</v>
      </c>
      <c r="Q140" s="51">
        <f t="shared" ca="1" si="73"/>
        <v>971.22028436808705</v>
      </c>
    </row>
    <row r="141" spans="1:25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ca="1" si="74">ROUND(J140,3) = ROUND(J127,3)</f>
        <v>1</v>
      </c>
      <c r="K141" s="91" t="b">
        <f t="shared" ca="1" si="74"/>
        <v>1</v>
      </c>
      <c r="L141" s="91" t="b">
        <f t="shared" ca="1" si="74"/>
        <v>1</v>
      </c>
      <c r="M141" s="91" t="b">
        <f t="shared" ca="1" si="74"/>
        <v>1</v>
      </c>
      <c r="N141" s="91" t="b">
        <f t="shared" ca="1" si="74"/>
        <v>1</v>
      </c>
      <c r="O141" s="91" t="b">
        <f t="shared" ca="1" si="74"/>
        <v>1</v>
      </c>
      <c r="P141" s="91" t="b">
        <f t="shared" ca="1" si="74"/>
        <v>1</v>
      </c>
      <c r="Q141" s="91" t="b">
        <f t="shared" ca="1" si="74"/>
        <v>1</v>
      </c>
    </row>
    <row r="142" spans="1:25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5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 ca="1">J63</f>
        <v>26.762935801316353</v>
      </c>
      <c r="K150" s="82">
        <f t="shared" ref="K150:Q150" ca="1" si="75">K63</f>
        <v>29.179047400499634</v>
      </c>
      <c r="L150" s="82">
        <f t="shared" ca="1" si="75"/>
        <v>32.866425409587137</v>
      </c>
      <c r="M150" s="82">
        <f t="shared" ca="1" si="75"/>
        <v>36.429881435282553</v>
      </c>
      <c r="N150" s="82">
        <f t="shared" ca="1" si="75"/>
        <v>40.377255386841135</v>
      </c>
      <c r="O150" s="82">
        <f t="shared" ca="1" si="75"/>
        <v>44.171014319852283</v>
      </c>
      <c r="P150" s="82">
        <f t="shared" ca="1" si="75"/>
        <v>48.895128092839116</v>
      </c>
      <c r="Q150" s="82">
        <f t="shared" ca="1" si="75"/>
        <v>53.678079058913177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76">-K54</f>
        <v>18.920999999999999</v>
      </c>
      <c r="L151" s="72">
        <f t="shared" si="76"/>
        <v>20.245470000000001</v>
      </c>
      <c r="M151" s="72">
        <f t="shared" si="76"/>
        <v>21.460198200000001</v>
      </c>
      <c r="N151" s="72">
        <f t="shared" si="76"/>
        <v>22.533208110000004</v>
      </c>
      <c r="O151" s="72">
        <f t="shared" si="76"/>
        <v>23.434536434400002</v>
      </c>
      <c r="P151" s="72">
        <f t="shared" si="76"/>
        <v>24.371917891776004</v>
      </c>
      <c r="Q151" s="72">
        <f t="shared" si="76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>
        <f ca="1">J268</f>
        <v>10.362701261966929</v>
      </c>
      <c r="K152" s="72">
        <f t="shared" ref="K152:Q152" ca="1" si="77">K268</f>
        <v>11.150763079826483</v>
      </c>
      <c r="L152" s="72">
        <f t="shared" ca="1" si="77"/>
        <v>12.008783388044325</v>
      </c>
      <c r="M152" s="72">
        <f t="shared" si="77"/>
        <v>1.4854166666666666</v>
      </c>
      <c r="N152" s="72">
        <f t="shared" si="77"/>
        <v>1.4854166666666666</v>
      </c>
      <c r="O152" s="72">
        <f t="shared" si="77"/>
        <v>1.3854166666666665</v>
      </c>
      <c r="P152" s="72">
        <f t="shared" si="77"/>
        <v>0.81250000000000044</v>
      </c>
      <c r="Q152" s="72">
        <f t="shared" si="77"/>
        <v>0.8125</v>
      </c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78">K109</f>
        <v>-3.6540000000000248</v>
      </c>
      <c r="L153" s="73">
        <f t="shared" si="78"/>
        <v>-4.518779999999964</v>
      </c>
      <c r="M153" s="73">
        <f t="shared" si="78"/>
        <v>-4.1443668000000429</v>
      </c>
      <c r="N153" s="73">
        <f t="shared" si="78"/>
        <v>-3.6608573399999926</v>
      </c>
      <c r="O153" s="73">
        <f t="shared" si="78"/>
        <v>-3.0751201655999978</v>
      </c>
      <c r="P153" s="73">
        <f t="shared" si="78"/>
        <v>-3.1981249722240364</v>
      </c>
      <c r="Q153" s="73">
        <f t="shared" si="78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 ca="1">SUM(J150:J153)</f>
        <v>52.07563706328331</v>
      </c>
      <c r="K154" s="51">
        <f t="shared" ref="K154:Q154" ca="1" si="79">SUM(K150:K153)</f>
        <v>55.596810480326091</v>
      </c>
      <c r="L154" s="51">
        <f t="shared" ca="1" si="79"/>
        <v>60.601898797631492</v>
      </c>
      <c r="M154" s="51">
        <f t="shared" ca="1" si="79"/>
        <v>55.231129501949177</v>
      </c>
      <c r="N154" s="51">
        <f t="shared" ca="1" si="79"/>
        <v>60.735022823507819</v>
      </c>
      <c r="O154" s="51">
        <f t="shared" ca="1" si="79"/>
        <v>65.915847255318951</v>
      </c>
      <c r="P154" s="51">
        <f t="shared" ca="1" si="79"/>
        <v>70.881421012391087</v>
      </c>
      <c r="Q154" s="51">
        <f t="shared" ca="1" si="79"/>
        <v>76.511323695247285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80">-K73*K47</f>
        <v>-18.920999999999999</v>
      </c>
      <c r="L155" s="50">
        <f t="shared" si="80"/>
        <v>-20.245470000000001</v>
      </c>
      <c r="M155" s="50">
        <f t="shared" si="80"/>
        <v>-21.460198200000001</v>
      </c>
      <c r="N155" s="50">
        <f t="shared" si="80"/>
        <v>-22.533208110000004</v>
      </c>
      <c r="O155" s="50">
        <f t="shared" si="80"/>
        <v>-23.434536434400002</v>
      </c>
      <c r="P155" s="50">
        <f t="shared" si="80"/>
        <v>-24.371917891776004</v>
      </c>
      <c r="Q155" s="50">
        <f t="shared" si="80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 ca="1">SUM(J154:J155)</f>
        <v>34.225637063283308</v>
      </c>
      <c r="K156" s="51">
        <f t="shared" ref="K156:Q156" ca="1" si="81">SUM(K154:K155)</f>
        <v>36.675810480326092</v>
      </c>
      <c r="L156" s="51">
        <f t="shared" ca="1" si="81"/>
        <v>40.356428797631494</v>
      </c>
      <c r="M156" s="51">
        <f t="shared" ca="1" si="81"/>
        <v>33.770931301949176</v>
      </c>
      <c r="N156" s="51">
        <f t="shared" ca="1" si="81"/>
        <v>38.201814713507815</v>
      </c>
      <c r="O156" s="51">
        <f t="shared" ca="1" si="81"/>
        <v>42.481310820918949</v>
      </c>
      <c r="P156" s="51">
        <f t="shared" ca="1" si="81"/>
        <v>46.509503120615079</v>
      </c>
      <c r="Q156" s="51">
        <f t="shared" ca="1" si="81"/>
        <v>51.164529087800247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ca="1" si="82">J167</f>
        <v>5</v>
      </c>
      <c r="L158" s="82">
        <f t="shared" ca="1" si="82"/>
        <v>5</v>
      </c>
      <c r="M158" s="82">
        <f t="shared" ca="1" si="82"/>
        <v>5</v>
      </c>
      <c r="N158" s="82">
        <f t="shared" ca="1" si="82"/>
        <v>5</v>
      </c>
      <c r="O158" s="82">
        <f t="shared" ca="1" si="82"/>
        <v>5</v>
      </c>
      <c r="P158" s="82">
        <f t="shared" ca="1" si="82"/>
        <v>5</v>
      </c>
      <c r="Q158" s="82">
        <f t="shared" ca="1" si="82"/>
        <v>5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 ca="1">J156</f>
        <v>34.225637063283308</v>
      </c>
      <c r="K159" s="72">
        <f t="shared" ref="K159:Q159" ca="1" si="83">K156</f>
        <v>36.675810480326092</v>
      </c>
      <c r="L159" s="72">
        <f t="shared" ca="1" si="83"/>
        <v>40.356428797631494</v>
      </c>
      <c r="M159" s="72">
        <f t="shared" ca="1" si="83"/>
        <v>33.770931301949176</v>
      </c>
      <c r="N159" s="72">
        <f t="shared" ca="1" si="83"/>
        <v>38.201814713507815</v>
      </c>
      <c r="O159" s="72">
        <f t="shared" ca="1" si="83"/>
        <v>42.481310820918949</v>
      </c>
      <c r="P159" s="72">
        <f t="shared" ca="1" si="83"/>
        <v>46.509503120615079</v>
      </c>
      <c r="Q159" s="72">
        <f t="shared" ca="1" si="83"/>
        <v>51.164529087800247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84">-$H$32</f>
        <v>-5</v>
      </c>
      <c r="L160" s="73">
        <f t="shared" si="84"/>
        <v>-5</v>
      </c>
      <c r="M160" s="73">
        <f t="shared" si="84"/>
        <v>-5</v>
      </c>
      <c r="N160" s="73">
        <f t="shared" si="84"/>
        <v>-5</v>
      </c>
      <c r="O160" s="73">
        <f t="shared" si="84"/>
        <v>-5</v>
      </c>
      <c r="P160" s="73">
        <f t="shared" si="84"/>
        <v>-5</v>
      </c>
      <c r="Q160" s="73">
        <f t="shared" si="84"/>
        <v>-5</v>
      </c>
    </row>
    <row r="161" spans="1:25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 ca="1">SUM(J158:J160)</f>
        <v>34.225637063283308</v>
      </c>
      <c r="K161" s="51">
        <f t="shared" ref="K161:Q161" ca="1" si="85">SUM(K158:K160)</f>
        <v>36.675810480326092</v>
      </c>
      <c r="L161" s="51">
        <f t="shared" ca="1" si="85"/>
        <v>40.356428797631494</v>
      </c>
      <c r="M161" s="51">
        <f t="shared" ca="1" si="85"/>
        <v>33.770931301949176</v>
      </c>
      <c r="N161" s="51">
        <f t="shared" ca="1" si="85"/>
        <v>38.201814713507815</v>
      </c>
      <c r="O161" s="51">
        <f t="shared" ca="1" si="85"/>
        <v>42.481310820918949</v>
      </c>
      <c r="P161" s="51">
        <f t="shared" ca="1" si="85"/>
        <v>46.509503120615079</v>
      </c>
      <c r="Q161" s="51">
        <f t="shared" ca="1" si="85"/>
        <v>51.164529087800247</v>
      </c>
    </row>
    <row r="162" spans="1:25" x14ac:dyDescent="0.2">
      <c r="B162" s="20"/>
    </row>
    <row r="163" spans="1:25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>
        <f>J204</f>
        <v>-2.75</v>
      </c>
      <c r="K163" s="82">
        <f t="shared" ref="K163:Q163" ca="1" si="86">K204</f>
        <v>-2.75</v>
      </c>
      <c r="L163" s="82">
        <f t="shared" ca="1" si="86"/>
        <v>-2.75</v>
      </c>
      <c r="M163" s="82">
        <f t="shared" ca="1" si="86"/>
        <v>-2.75</v>
      </c>
      <c r="N163" s="82">
        <f t="shared" ca="1" si="86"/>
        <v>-2.75</v>
      </c>
      <c r="O163" s="82">
        <f t="shared" ca="1" si="86"/>
        <v>-2.75</v>
      </c>
      <c r="P163" s="82">
        <f t="shared" ca="1" si="86"/>
        <v>-2.75</v>
      </c>
      <c r="Q163" s="82">
        <f t="shared" ca="1" si="86"/>
        <v>-2.75</v>
      </c>
    </row>
    <row r="164" spans="1:25" x14ac:dyDescent="0.2">
      <c r="B164" s="20" t="s">
        <v>136</v>
      </c>
      <c r="J164" s="50">
        <f ca="1">J213</f>
        <v>-31.475637063283308</v>
      </c>
      <c r="K164" s="50">
        <f t="shared" ref="K164:Q164" ca="1" si="87">K213</f>
        <v>-33.925810480326092</v>
      </c>
      <c r="L164" s="50">
        <f t="shared" ca="1" si="87"/>
        <v>-37.606428797631494</v>
      </c>
      <c r="M164" s="50">
        <f t="shared" ca="1" si="87"/>
        <v>-31.020931301949176</v>
      </c>
      <c r="N164" s="50">
        <f t="shared" ca="1" si="87"/>
        <v>-35.451814713507815</v>
      </c>
      <c r="O164" s="50">
        <f t="shared" ca="1" si="87"/>
        <v>-39.731310820918949</v>
      </c>
      <c r="P164" s="50">
        <f t="shared" ca="1" si="87"/>
        <v>-43.759503120615079</v>
      </c>
      <c r="Q164" s="50">
        <f t="shared" ca="1" si="87"/>
        <v>-48.414529087800247</v>
      </c>
    </row>
    <row r="165" spans="1:25" x14ac:dyDescent="0.2">
      <c r="B165" s="20"/>
    </row>
    <row r="166" spans="1:25" x14ac:dyDescent="0.2">
      <c r="B166" s="20" t="s">
        <v>143</v>
      </c>
      <c r="J166" s="49">
        <f>-J160</f>
        <v>5</v>
      </c>
      <c r="K166" s="49">
        <f t="shared" ref="K166:Q166" si="88">-K160</f>
        <v>5</v>
      </c>
      <c r="L166" s="49">
        <f t="shared" si="88"/>
        <v>5</v>
      </c>
      <c r="M166" s="49">
        <f t="shared" si="88"/>
        <v>5</v>
      </c>
      <c r="N166" s="49">
        <f t="shared" si="88"/>
        <v>5</v>
      </c>
      <c r="O166" s="49">
        <f t="shared" si="88"/>
        <v>5</v>
      </c>
      <c r="P166" s="49">
        <f t="shared" si="88"/>
        <v>5</v>
      </c>
      <c r="Q166" s="49">
        <f t="shared" si="88"/>
        <v>5</v>
      </c>
    </row>
    <row r="167" spans="1:25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 ca="1">SUM(J166,J163:J164,J161)</f>
        <v>5</v>
      </c>
      <c r="K167" s="51">
        <f t="shared" ref="K167:Q167" ca="1" si="89">SUM(K166,K163:K164,K161)</f>
        <v>5</v>
      </c>
      <c r="L167" s="51">
        <f t="shared" ca="1" si="89"/>
        <v>5</v>
      </c>
      <c r="M167" s="51">
        <f t="shared" ca="1" si="89"/>
        <v>5</v>
      </c>
      <c r="N167" s="51">
        <f t="shared" ca="1" si="89"/>
        <v>5</v>
      </c>
      <c r="O167" s="51">
        <f t="shared" ca="1" si="89"/>
        <v>5</v>
      </c>
      <c r="P167" s="51">
        <f t="shared" ca="1" si="89"/>
        <v>5</v>
      </c>
      <c r="Q167" s="51">
        <f t="shared" ca="1" si="89"/>
        <v>5</v>
      </c>
    </row>
    <row r="168" spans="1:25" x14ac:dyDescent="0.2">
      <c r="B168" s="67"/>
    </row>
    <row r="169" spans="1:25" x14ac:dyDescent="0.2">
      <c r="B169" s="68" t="s">
        <v>98</v>
      </c>
    </row>
    <row r="170" spans="1:25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 ca="1">IF($H$38=1,AVERAGE(I167:J167),I167)</f>
        <v>5</v>
      </c>
      <c r="K170" s="82">
        <f t="shared" ref="K170:Q170" ca="1" si="90">IF($H$38=1,AVERAGE(J167:K167),J167)</f>
        <v>5</v>
      </c>
      <c r="L170" s="82">
        <f t="shared" ca="1" si="90"/>
        <v>5</v>
      </c>
      <c r="M170" s="82">
        <f t="shared" ca="1" si="90"/>
        <v>5</v>
      </c>
      <c r="N170" s="82">
        <f t="shared" ca="1" si="90"/>
        <v>5</v>
      </c>
      <c r="O170" s="82">
        <f t="shared" ca="1" si="90"/>
        <v>5</v>
      </c>
      <c r="P170" s="82">
        <f t="shared" ca="1" si="90"/>
        <v>5</v>
      </c>
      <c r="Q170" s="82">
        <f t="shared" ca="1" si="90"/>
        <v>5</v>
      </c>
    </row>
    <row r="171" spans="1:25" x14ac:dyDescent="0.2">
      <c r="B171" s="20" t="s">
        <v>145</v>
      </c>
      <c r="G171" s="99">
        <f>H35</f>
        <v>2.5000000000000001E-3</v>
      </c>
      <c r="J171" s="50">
        <f ca="1">J170*$G171</f>
        <v>1.2500000000000001E-2</v>
      </c>
      <c r="K171" s="50">
        <f t="shared" ref="K171:Q171" ca="1" si="91">K170*$G171</f>
        <v>1.2500000000000001E-2</v>
      </c>
      <c r="L171" s="50">
        <f t="shared" ca="1" si="91"/>
        <v>1.2500000000000001E-2</v>
      </c>
      <c r="M171" s="50">
        <f t="shared" ca="1" si="91"/>
        <v>1.2500000000000001E-2</v>
      </c>
      <c r="N171" s="50">
        <f t="shared" ca="1" si="91"/>
        <v>1.2500000000000001E-2</v>
      </c>
      <c r="O171" s="50">
        <f t="shared" ca="1" si="91"/>
        <v>1.2500000000000001E-2</v>
      </c>
      <c r="P171" s="50">
        <f t="shared" ca="1" si="91"/>
        <v>1.2500000000000001E-2</v>
      </c>
      <c r="Q171" s="50">
        <f t="shared" ca="1" si="91"/>
        <v>1.2500000000000001E-2</v>
      </c>
    </row>
    <row r="172" spans="1:25" x14ac:dyDescent="0.2">
      <c r="B172" s="20"/>
    </row>
    <row r="174" spans="1:25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92">J$116</f>
        <v>43100</v>
      </c>
      <c r="K177" s="54">
        <f t="shared" si="92"/>
        <v>43465</v>
      </c>
      <c r="L177" s="54">
        <f t="shared" si="92"/>
        <v>43830</v>
      </c>
      <c r="M177" s="54">
        <f t="shared" si="92"/>
        <v>44196</v>
      </c>
      <c r="N177" s="54">
        <f t="shared" si="92"/>
        <v>44561</v>
      </c>
      <c r="O177" s="54">
        <f t="shared" si="92"/>
        <v>44926</v>
      </c>
      <c r="P177" s="54">
        <f t="shared" si="92"/>
        <v>45291</v>
      </c>
      <c r="Q177" s="54">
        <f t="shared" si="92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>
        <f>G11</f>
        <v>0</v>
      </c>
      <c r="J181" s="82">
        <f ca="1">MAX(0,I181+J200+J209)</f>
        <v>0</v>
      </c>
      <c r="K181" s="82">
        <f t="shared" ref="K181:Q181" ca="1" si="93">MAX(0,J181+K200+K209)</f>
        <v>0</v>
      </c>
      <c r="L181" s="82">
        <f t="shared" ca="1" si="93"/>
        <v>0</v>
      </c>
      <c r="M181" s="82">
        <f t="shared" ca="1" si="93"/>
        <v>0</v>
      </c>
      <c r="N181" s="82">
        <f t="shared" ca="1" si="93"/>
        <v>0</v>
      </c>
      <c r="O181" s="82">
        <f t="shared" ca="1" si="93"/>
        <v>0</v>
      </c>
      <c r="P181" s="82">
        <f t="shared" ca="1" si="93"/>
        <v>0</v>
      </c>
      <c r="Q181" s="82">
        <f t="shared" ca="1" si="93"/>
        <v>0</v>
      </c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>
        <f t="shared" ref="I182:I184" si="94">G12</f>
        <v>275</v>
      </c>
      <c r="J182" s="72">
        <f t="shared" ref="J182:Q182" ca="1" si="95">MAX(0,I182+J201+J210)</f>
        <v>240.7743629367167</v>
      </c>
      <c r="K182" s="72">
        <f t="shared" ca="1" si="95"/>
        <v>204.09855245639062</v>
      </c>
      <c r="L182" s="72">
        <f t="shared" ca="1" si="95"/>
        <v>163.74212365875911</v>
      </c>
      <c r="M182" s="72">
        <f t="shared" ca="1" si="95"/>
        <v>129.97119235680992</v>
      </c>
      <c r="N182" s="72">
        <f t="shared" ca="1" si="95"/>
        <v>91.769377643302107</v>
      </c>
      <c r="O182" s="72">
        <f t="shared" ca="1" si="95"/>
        <v>49.288066822383158</v>
      </c>
      <c r="P182" s="72">
        <f t="shared" ca="1" si="95"/>
        <v>2.7785637017680784</v>
      </c>
      <c r="Q182" s="72">
        <f t="shared" ca="1" si="95"/>
        <v>0</v>
      </c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>
        <f t="shared" si="94"/>
        <v>225</v>
      </c>
      <c r="J183" s="72">
        <f ca="1">MAX(0,I183+J202+J211+J247)</f>
        <v>225</v>
      </c>
      <c r="K183" s="72">
        <f t="shared" ref="K183:Q183" ca="1" si="96">MAX(0,J183+K202+K211+K247)</f>
        <v>225</v>
      </c>
      <c r="L183" s="72">
        <f t="shared" ca="1" si="96"/>
        <v>225</v>
      </c>
      <c r="M183" s="72">
        <f t="shared" ca="1" si="96"/>
        <v>225</v>
      </c>
      <c r="N183" s="72">
        <f t="shared" ca="1" si="96"/>
        <v>225</v>
      </c>
      <c r="O183" s="72">
        <f t="shared" ca="1" si="96"/>
        <v>225</v>
      </c>
      <c r="P183" s="72">
        <f t="shared" ca="1" si="96"/>
        <v>225</v>
      </c>
      <c r="Q183" s="72">
        <f t="shared" ca="1" si="96"/>
        <v>176.61403461396782</v>
      </c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>
        <f t="shared" si="94"/>
        <v>100</v>
      </c>
      <c r="J184" s="73">
        <f t="shared" ref="J184:Q184" ca="1" si="97">MAX(0,I184+J203+J212+J248)</f>
        <v>108.87728459530027</v>
      </c>
      <c r="K184" s="73">
        <f t="shared" ca="1" si="97"/>
        <v>118.54263100846008</v>
      </c>
      <c r="L184" s="73">
        <f t="shared" ca="1" si="97"/>
        <v>129.06599772983773</v>
      </c>
      <c r="M184" s="73">
        <f t="shared" ca="1" si="97"/>
        <v>129.06599772983773</v>
      </c>
      <c r="N184" s="73">
        <f t="shared" ca="1" si="97"/>
        <v>129.06599772983773</v>
      </c>
      <c r="O184" s="73">
        <f t="shared" ca="1" si="97"/>
        <v>129.06599772983773</v>
      </c>
      <c r="P184" s="73">
        <f t="shared" ca="1" si="97"/>
        <v>129.06599772983773</v>
      </c>
      <c r="Q184" s="73">
        <f t="shared" ca="1" si="97"/>
        <v>129.06599772983773</v>
      </c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>
        <f>SUM(I181:I184)</f>
        <v>600</v>
      </c>
      <c r="J185" s="51">
        <f t="shared" ref="J185:Q185" ca="1" si="98">SUM(J181:J184)</f>
        <v>574.65164753201691</v>
      </c>
      <c r="K185" s="51">
        <f t="shared" ca="1" si="98"/>
        <v>547.64118346485066</v>
      </c>
      <c r="L185" s="51">
        <f t="shared" ca="1" si="98"/>
        <v>517.80812138859687</v>
      </c>
      <c r="M185" s="51">
        <f t="shared" ca="1" si="98"/>
        <v>484.03719008664768</v>
      </c>
      <c r="N185" s="51">
        <f t="shared" ca="1" si="98"/>
        <v>445.83537537313987</v>
      </c>
      <c r="O185" s="51">
        <f t="shared" ca="1" si="98"/>
        <v>403.35406455222085</v>
      </c>
      <c r="P185" s="51">
        <f t="shared" ca="1" si="98"/>
        <v>356.84456143160583</v>
      </c>
      <c r="Q185" s="51">
        <f t="shared" ca="1" si="98"/>
        <v>305.68003234380558</v>
      </c>
    </row>
    <row r="186" spans="2:17" x14ac:dyDescent="0.2">
      <c r="C186" s="8" t="s">
        <v>168</v>
      </c>
      <c r="J186" s="57">
        <f ca="1">IFERROR(J185/$I185,0)</f>
        <v>0.9577527458866949</v>
      </c>
      <c r="K186" s="57">
        <f t="shared" ref="K186:Q186" ca="1" si="99">IFERROR(K185/$I185,0)</f>
        <v>0.91273530577475104</v>
      </c>
      <c r="L186" s="57">
        <f t="shared" ca="1" si="99"/>
        <v>0.86301353564766148</v>
      </c>
      <c r="M186" s="57">
        <f t="shared" ca="1" si="99"/>
        <v>0.80672865014441275</v>
      </c>
      <c r="N186" s="57">
        <f t="shared" ca="1" si="99"/>
        <v>0.74305895895523311</v>
      </c>
      <c r="O186" s="57">
        <f t="shared" ca="1" si="99"/>
        <v>0.67225677425370145</v>
      </c>
      <c r="P186" s="57">
        <f t="shared" ca="1" si="99"/>
        <v>0.59474093571934306</v>
      </c>
      <c r="Q186" s="57">
        <f t="shared" ca="1" si="99"/>
        <v>0.50946672057300935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>
        <f>MAX(0,$G189-I181)</f>
        <v>100</v>
      </c>
      <c r="J189" s="101">
        <f t="shared" ref="J189:Q189" ca="1" si="100">MAX(0,$G189-J181)</f>
        <v>100</v>
      </c>
      <c r="K189" s="101">
        <f t="shared" ca="1" si="100"/>
        <v>100</v>
      </c>
      <c r="L189" s="101">
        <f t="shared" ca="1" si="100"/>
        <v>100</v>
      </c>
      <c r="M189" s="101">
        <f t="shared" ca="1" si="100"/>
        <v>100</v>
      </c>
      <c r="N189" s="101">
        <f t="shared" ca="1" si="100"/>
        <v>100</v>
      </c>
      <c r="O189" s="101">
        <f t="shared" ca="1" si="100"/>
        <v>100</v>
      </c>
      <c r="P189" s="101">
        <f t="shared" ca="1" si="100"/>
        <v>100</v>
      </c>
      <c r="Q189" s="101">
        <f t="shared" ca="1" si="100"/>
        <v>100</v>
      </c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>
        <f ca="1">J161</f>
        <v>34.225637063283308</v>
      </c>
      <c r="K191" s="102">
        <f t="shared" ref="K191:Q191" ca="1" si="101">K161</f>
        <v>36.675810480326092</v>
      </c>
      <c r="L191" s="102">
        <f t="shared" ca="1" si="101"/>
        <v>40.356428797631494</v>
      </c>
      <c r="M191" s="102">
        <f t="shared" ca="1" si="101"/>
        <v>33.770931301949176</v>
      </c>
      <c r="N191" s="102">
        <f t="shared" ca="1" si="101"/>
        <v>38.201814713507815</v>
      </c>
      <c r="O191" s="102">
        <f t="shared" ca="1" si="101"/>
        <v>42.481310820918949</v>
      </c>
      <c r="P191" s="102">
        <f t="shared" ca="1" si="101"/>
        <v>46.509503120615079</v>
      </c>
      <c r="Q191" s="102">
        <f t="shared" ca="1" si="101"/>
        <v>51.164529087800247</v>
      </c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102">K194</f>
        <v>0</v>
      </c>
      <c r="M194" s="61">
        <f t="shared" si="102"/>
        <v>0</v>
      </c>
      <c r="N194" s="61">
        <f t="shared" si="102"/>
        <v>0</v>
      </c>
      <c r="O194" s="61">
        <f t="shared" si="102"/>
        <v>0</v>
      </c>
      <c r="P194" s="61">
        <f t="shared" si="102"/>
        <v>0</v>
      </c>
      <c r="Q194" s="61">
        <f t="shared" si="102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5" si="103">J195</f>
        <v>0.01</v>
      </c>
      <c r="L195" s="62">
        <f t="shared" si="103"/>
        <v>0.01</v>
      </c>
      <c r="M195" s="62">
        <f t="shared" si="103"/>
        <v>0.01</v>
      </c>
      <c r="N195" s="62">
        <f t="shared" si="103"/>
        <v>0.01</v>
      </c>
      <c r="O195" s="62">
        <f t="shared" si="103"/>
        <v>0.01</v>
      </c>
      <c r="P195" s="62">
        <f t="shared" si="103"/>
        <v>0.01</v>
      </c>
      <c r="Q195" s="62">
        <f t="shared" si="103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ref="K196:Q196" si="104">J196</f>
        <v>0</v>
      </c>
      <c r="L196" s="62">
        <f t="shared" si="104"/>
        <v>0</v>
      </c>
      <c r="M196" s="62">
        <f t="shared" si="104"/>
        <v>0</v>
      </c>
      <c r="N196" s="62">
        <f t="shared" si="104"/>
        <v>0</v>
      </c>
      <c r="O196" s="62">
        <f t="shared" si="104"/>
        <v>0</v>
      </c>
      <c r="P196" s="62">
        <f t="shared" si="104"/>
        <v>0</v>
      </c>
      <c r="Q196" s="62">
        <f t="shared" si="104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ref="K197:Q197" si="105">J197</f>
        <v>0</v>
      </c>
      <c r="L197" s="76">
        <f t="shared" si="105"/>
        <v>0</v>
      </c>
      <c r="M197" s="76">
        <f t="shared" si="105"/>
        <v>0</v>
      </c>
      <c r="N197" s="76">
        <f t="shared" si="105"/>
        <v>0</v>
      </c>
      <c r="O197" s="76">
        <f t="shared" si="105"/>
        <v>0</v>
      </c>
      <c r="P197" s="76">
        <f t="shared" si="105"/>
        <v>0</v>
      </c>
      <c r="Q197" s="76">
        <f t="shared" si="105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>
        <f>-MAX(0,MIN(J194*$I181,I181))</f>
        <v>0</v>
      </c>
      <c r="K200" s="82">
        <f t="shared" ref="K200:Q200" ca="1" si="106">-MAX(0,MIN(K194*$I181,J181))</f>
        <v>0</v>
      </c>
      <c r="L200" s="82">
        <f t="shared" ca="1" si="106"/>
        <v>0</v>
      </c>
      <c r="M200" s="82">
        <f t="shared" ca="1" si="106"/>
        <v>0</v>
      </c>
      <c r="N200" s="82">
        <f t="shared" ca="1" si="106"/>
        <v>0</v>
      </c>
      <c r="O200" s="82">
        <f t="shared" ca="1" si="106"/>
        <v>0</v>
      </c>
      <c r="P200" s="82">
        <f t="shared" ca="1" si="106"/>
        <v>0</v>
      </c>
      <c r="Q200" s="82">
        <f t="shared" ca="1" si="106"/>
        <v>0</v>
      </c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>
        <f t="shared" ref="J201:Q201" si="107">-MAX(0,MIN(J195*$I182,I182))</f>
        <v>-2.75</v>
      </c>
      <c r="K201" s="72">
        <f t="shared" ca="1" si="107"/>
        <v>-2.75</v>
      </c>
      <c r="L201" s="72">
        <f t="shared" ca="1" si="107"/>
        <v>-2.75</v>
      </c>
      <c r="M201" s="72">
        <f t="shared" ca="1" si="107"/>
        <v>-2.75</v>
      </c>
      <c r="N201" s="72">
        <f t="shared" ca="1" si="107"/>
        <v>-2.75</v>
      </c>
      <c r="O201" s="72">
        <f t="shared" ca="1" si="107"/>
        <v>-2.75</v>
      </c>
      <c r="P201" s="72">
        <f t="shared" ca="1" si="107"/>
        <v>-2.75</v>
      </c>
      <c r="Q201" s="72">
        <f t="shared" ca="1" si="107"/>
        <v>-2.75</v>
      </c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>
        <f t="shared" ref="J202:Q202" si="108">-MAX(0,MIN(J196*$I183,I183))</f>
        <v>0</v>
      </c>
      <c r="K202" s="72">
        <f t="shared" ca="1" si="108"/>
        <v>0</v>
      </c>
      <c r="L202" s="72">
        <f t="shared" ca="1" si="108"/>
        <v>0</v>
      </c>
      <c r="M202" s="72">
        <f t="shared" ca="1" si="108"/>
        <v>0</v>
      </c>
      <c r="N202" s="72">
        <f t="shared" ca="1" si="108"/>
        <v>0</v>
      </c>
      <c r="O202" s="72">
        <f t="shared" ca="1" si="108"/>
        <v>0</v>
      </c>
      <c r="P202" s="72">
        <f t="shared" ca="1" si="108"/>
        <v>0</v>
      </c>
      <c r="Q202" s="72">
        <f t="shared" ca="1" si="108"/>
        <v>0</v>
      </c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>
        <f t="shared" ref="J203:Q203" si="109">-MAX(0,MIN(J197*$I184,I184))</f>
        <v>0</v>
      </c>
      <c r="K203" s="73">
        <f t="shared" ca="1" si="109"/>
        <v>0</v>
      </c>
      <c r="L203" s="73">
        <f t="shared" ca="1" si="109"/>
        <v>0</v>
      </c>
      <c r="M203" s="73">
        <f t="shared" ca="1" si="109"/>
        <v>0</v>
      </c>
      <c r="N203" s="73">
        <f t="shared" ca="1" si="109"/>
        <v>0</v>
      </c>
      <c r="O203" s="73">
        <f t="shared" ca="1" si="109"/>
        <v>0</v>
      </c>
      <c r="P203" s="73">
        <f t="shared" ca="1" si="109"/>
        <v>0</v>
      </c>
      <c r="Q203" s="73">
        <f t="shared" ca="1" si="109"/>
        <v>0</v>
      </c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>
        <f>SUM(J200:J203)</f>
        <v>-2.75</v>
      </c>
      <c r="K204" s="51">
        <f t="shared" ref="K204:Q204" ca="1" si="110">SUM(K200:K203)</f>
        <v>-2.75</v>
      </c>
      <c r="L204" s="51">
        <f t="shared" ca="1" si="110"/>
        <v>-2.75</v>
      </c>
      <c r="M204" s="51">
        <f t="shared" ca="1" si="110"/>
        <v>-2.75</v>
      </c>
      <c r="N204" s="51">
        <f t="shared" ca="1" si="110"/>
        <v>-2.75</v>
      </c>
      <c r="O204" s="51">
        <f t="shared" ca="1" si="110"/>
        <v>-2.75</v>
      </c>
      <c r="P204" s="51">
        <f t="shared" ca="1" si="110"/>
        <v>-2.75</v>
      </c>
      <c r="Q204" s="51">
        <f t="shared" ca="1" si="110"/>
        <v>-2.75</v>
      </c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>
        <f ca="1">J204+J191</f>
        <v>31.475637063283308</v>
      </c>
      <c r="K206" s="102">
        <f t="shared" ref="K206:Q206" ca="1" si="111">K204+K191</f>
        <v>33.925810480326092</v>
      </c>
      <c r="L206" s="102">
        <f t="shared" ca="1" si="111"/>
        <v>37.606428797631494</v>
      </c>
      <c r="M206" s="102">
        <f t="shared" ca="1" si="111"/>
        <v>31.020931301949176</v>
      </c>
      <c r="N206" s="102">
        <f t="shared" ca="1" si="111"/>
        <v>35.451814713507815</v>
      </c>
      <c r="O206" s="102">
        <f t="shared" ca="1" si="111"/>
        <v>39.731310820918949</v>
      </c>
      <c r="P206" s="102">
        <f t="shared" ca="1" si="111"/>
        <v>43.759503120615079</v>
      </c>
      <c r="Q206" s="102">
        <f t="shared" ca="1" si="111"/>
        <v>48.414529087800247</v>
      </c>
    </row>
    <row r="207" spans="2:17" s="70" customFormat="1" x14ac:dyDescent="0.2"/>
    <row r="208" spans="2:17" x14ac:dyDescent="0.2">
      <c r="B208" s="22" t="s">
        <v>151</v>
      </c>
    </row>
    <row r="209" spans="1:25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>
        <f ca="1">IF(J206&gt;0,-MAX(0,MIN(J206,I181)),-MIN(0,J206))</f>
        <v>0</v>
      </c>
      <c r="K209" s="82">
        <f t="shared" ref="K209:Q209" ca="1" si="112">IF(K206&gt;0,-MAX(0,MIN(K206,J181)),-MIN(0,K206))</f>
        <v>0</v>
      </c>
      <c r="L209" s="82">
        <f t="shared" ca="1" si="112"/>
        <v>0</v>
      </c>
      <c r="M209" s="82">
        <f t="shared" ca="1" si="112"/>
        <v>0</v>
      </c>
      <c r="N209" s="82">
        <f t="shared" ca="1" si="112"/>
        <v>0</v>
      </c>
      <c r="O209" s="82">
        <f t="shared" ca="1" si="112"/>
        <v>0</v>
      </c>
      <c r="P209" s="82">
        <f t="shared" ca="1" si="112"/>
        <v>0</v>
      </c>
      <c r="Q209" s="82">
        <f t="shared" ca="1" si="112"/>
        <v>0</v>
      </c>
    </row>
    <row r="210" spans="1:25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>
        <f ca="1">-MAX(0,MIN(SUM(J$206,J$209:J209),J201+I182))</f>
        <v>-31.475637063283308</v>
      </c>
      <c r="K210" s="72">
        <f ca="1">-MAX(0,MIN(SUM(K$206,K$209:K209),K201+J182))</f>
        <v>-33.925810480326092</v>
      </c>
      <c r="L210" s="72">
        <f ca="1">-MAX(0,MIN(SUM(L$206,L$209:L209),L201+K182))</f>
        <v>-37.606428797631494</v>
      </c>
      <c r="M210" s="72">
        <f ca="1">-MAX(0,MIN(SUM(M$206,M$209:M209),M201+L182))</f>
        <v>-31.020931301949176</v>
      </c>
      <c r="N210" s="72">
        <f ca="1">-MAX(0,MIN(SUM(N$206,N$209:N209),N201+M182))</f>
        <v>-35.451814713507815</v>
      </c>
      <c r="O210" s="72">
        <f ca="1">-MAX(0,MIN(SUM(O$206,O$209:O209),O201+N182))</f>
        <v>-39.731310820918949</v>
      </c>
      <c r="P210" s="72">
        <f ca="1">-MAX(0,MIN(SUM(P$206,P$209:P209),P201+O182))</f>
        <v>-43.759503120615079</v>
      </c>
      <c r="Q210" s="72">
        <f ca="1">-MAX(0,MIN(SUM(Q$206,Q$209:Q209),Q201+P182))</f>
        <v>-2.8563701768078431E-2</v>
      </c>
    </row>
    <row r="211" spans="1:25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>
        <f ca="1">-MAX(0,MIN(SUM(J$206,J$209:J210),J202+I183))</f>
        <v>0</v>
      </c>
      <c r="K211" s="72">
        <f ca="1">-MAX(0,MIN(SUM(K$206,K$209:K210),K202+J183))</f>
        <v>0</v>
      </c>
      <c r="L211" s="72">
        <f ca="1">-MAX(0,MIN(SUM(L$206,L$209:L210),L202+K183))</f>
        <v>0</v>
      </c>
      <c r="M211" s="72">
        <f ca="1">-MAX(0,MIN(SUM(M$206,M$209:M210),M202+L183))</f>
        <v>0</v>
      </c>
      <c r="N211" s="72">
        <f ca="1">-MAX(0,MIN(SUM(N$206,N$209:N210),N202+M183))</f>
        <v>0</v>
      </c>
      <c r="O211" s="72">
        <f ca="1">-MAX(0,MIN(SUM(O$206,O$209:O210),O202+N183))</f>
        <v>0</v>
      </c>
      <c r="P211" s="72">
        <f ca="1">-MAX(0,MIN(SUM(P$206,P$209:P210),P202+O183))</f>
        <v>0</v>
      </c>
      <c r="Q211" s="72">
        <f ca="1">-MAX(0,MIN(SUM(Q$206,Q$209:Q210),Q202+P183))</f>
        <v>-48.385965386032169</v>
      </c>
    </row>
    <row r="212" spans="1:25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>
        <f ca="1">-MAX(0,MIN(SUM(J$206,J$209:J211),J203+I184))</f>
        <v>0</v>
      </c>
      <c r="K212" s="72">
        <f ca="1">-MAX(0,MIN(SUM(K$206,K$209:K211),K203+J184))</f>
        <v>0</v>
      </c>
      <c r="L212" s="72">
        <f ca="1">-MAX(0,MIN(SUM(L$206,L$209:L211),L203+K184))</f>
        <v>0</v>
      </c>
      <c r="M212" s="72">
        <f ca="1">-MAX(0,MIN(SUM(M$206,M$209:M211),M203+L184))</f>
        <v>0</v>
      </c>
      <c r="N212" s="72">
        <f ca="1">-MAX(0,MIN(SUM(N$206,N$209:N211),N203+M184))</f>
        <v>0</v>
      </c>
      <c r="O212" s="72">
        <f ca="1">-MAX(0,MIN(SUM(O$206,O$209:O211),O203+N184))</f>
        <v>0</v>
      </c>
      <c r="P212" s="72">
        <f ca="1">-MAX(0,MIN(SUM(P$206,P$209:P211),P203+O184))</f>
        <v>0</v>
      </c>
      <c r="Q212" s="72">
        <f ca="1">-MAX(0,MIN(SUM(Q$206,Q$209:Q211),Q203+P184))</f>
        <v>0</v>
      </c>
    </row>
    <row r="213" spans="1:25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>
        <f ca="1">SUM(J209:J212)</f>
        <v>-31.475637063283308</v>
      </c>
      <c r="K213" s="51">
        <f t="shared" ref="K213:Q213" ca="1" si="113">SUM(K209:K212)</f>
        <v>-33.925810480326092</v>
      </c>
      <c r="L213" s="51">
        <f t="shared" ca="1" si="113"/>
        <v>-37.606428797631494</v>
      </c>
      <c r="M213" s="51">
        <f t="shared" ca="1" si="113"/>
        <v>-31.020931301949176</v>
      </c>
      <c r="N213" s="51">
        <f t="shared" ca="1" si="113"/>
        <v>-35.451814713507815</v>
      </c>
      <c r="O213" s="51">
        <f t="shared" ca="1" si="113"/>
        <v>-39.731310820918949</v>
      </c>
      <c r="P213" s="51">
        <f t="shared" ca="1" si="113"/>
        <v>-43.759503120615079</v>
      </c>
      <c r="Q213" s="51">
        <f t="shared" ca="1" si="113"/>
        <v>-48.414529087800247</v>
      </c>
    </row>
    <row r="216" spans="1:25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x14ac:dyDescent="0.2">
      <c r="B217" s="8" t="s">
        <v>37</v>
      </c>
    </row>
    <row r="219" spans="1:25" x14ac:dyDescent="0.2">
      <c r="B219" s="8" t="s">
        <v>88</v>
      </c>
      <c r="J219" s="54">
        <f t="shared" ref="J219:Q219" si="114">J$116</f>
        <v>43100</v>
      </c>
      <c r="K219" s="54">
        <f t="shared" si="114"/>
        <v>43465</v>
      </c>
      <c r="L219" s="54">
        <f t="shared" si="114"/>
        <v>43830</v>
      </c>
      <c r="M219" s="54">
        <f t="shared" si="114"/>
        <v>44196</v>
      </c>
      <c r="N219" s="54">
        <f t="shared" si="114"/>
        <v>44561</v>
      </c>
      <c r="O219" s="54">
        <f t="shared" si="114"/>
        <v>44926</v>
      </c>
      <c r="P219" s="54">
        <f t="shared" si="114"/>
        <v>45291</v>
      </c>
      <c r="Q219" s="54">
        <f t="shared" si="114"/>
        <v>45657</v>
      </c>
    </row>
    <row r="220" spans="1:25" ht="3" customHeight="1" x14ac:dyDescent="0.2"/>
    <row r="222" spans="1:25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5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>
        <f ca="1">IF($H$38=1,AVERAGE(I189:J189),I189)</f>
        <v>100</v>
      </c>
      <c r="K225" s="82">
        <f t="shared" ref="K225:Q225" ca="1" si="115">IF($H$38=1,AVERAGE(J189:K189),J189)</f>
        <v>100</v>
      </c>
      <c r="L225" s="82">
        <f t="shared" ca="1" si="115"/>
        <v>100</v>
      </c>
      <c r="M225" s="82">
        <f t="shared" ca="1" si="115"/>
        <v>100</v>
      </c>
      <c r="N225" s="82">
        <f t="shared" ca="1" si="115"/>
        <v>100</v>
      </c>
      <c r="O225" s="82">
        <f t="shared" ca="1" si="115"/>
        <v>100</v>
      </c>
      <c r="P225" s="82">
        <f t="shared" ca="1" si="115"/>
        <v>100</v>
      </c>
      <c r="Q225" s="82">
        <f t="shared" ca="1" si="115"/>
        <v>100</v>
      </c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>
        <f ca="1">IF($H$38=1,AVERAGE(I181:J181),I181)</f>
        <v>0</v>
      </c>
      <c r="K226" s="72">
        <f t="shared" ref="K226:Q226" ca="1" si="116">IF($H$38=1,AVERAGE(J181:K181),J181)</f>
        <v>0</v>
      </c>
      <c r="L226" s="72">
        <f t="shared" ca="1" si="116"/>
        <v>0</v>
      </c>
      <c r="M226" s="72">
        <f t="shared" ca="1" si="116"/>
        <v>0</v>
      </c>
      <c r="N226" s="72">
        <f t="shared" ca="1" si="116"/>
        <v>0</v>
      </c>
      <c r="O226" s="72">
        <f t="shared" ca="1" si="116"/>
        <v>0</v>
      </c>
      <c r="P226" s="72">
        <f t="shared" ca="1" si="116"/>
        <v>0</v>
      </c>
      <c r="Q226" s="72">
        <f t="shared" ca="1" si="116"/>
        <v>0</v>
      </c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>
        <f t="shared" ref="J227:Q227" ca="1" si="117">IF($H$38=1,AVERAGE(I182:J182),I182)</f>
        <v>257.88718146835834</v>
      </c>
      <c r="K227" s="72">
        <f t="shared" ca="1" si="117"/>
        <v>222.43645769655365</v>
      </c>
      <c r="L227" s="72">
        <f t="shared" ca="1" si="117"/>
        <v>183.92033805757487</v>
      </c>
      <c r="M227" s="72">
        <f t="shared" ca="1" si="117"/>
        <v>146.85665800778452</v>
      </c>
      <c r="N227" s="72">
        <f t="shared" ca="1" si="117"/>
        <v>110.87028500005601</v>
      </c>
      <c r="O227" s="72">
        <f t="shared" ca="1" si="117"/>
        <v>70.528722232842625</v>
      </c>
      <c r="P227" s="72">
        <f t="shared" ca="1" si="117"/>
        <v>26.033315262075618</v>
      </c>
      <c r="Q227" s="72">
        <f t="shared" ca="1" si="117"/>
        <v>1.3892818508840392</v>
      </c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>
        <f t="shared" ref="J228:Q228" ca="1" si="118">IF($H$38=1,AVERAGE(I183:J183),I183)</f>
        <v>225</v>
      </c>
      <c r="K228" s="72">
        <f t="shared" ca="1" si="118"/>
        <v>225</v>
      </c>
      <c r="L228" s="72">
        <f t="shared" ca="1" si="118"/>
        <v>225</v>
      </c>
      <c r="M228" s="72">
        <f t="shared" ca="1" si="118"/>
        <v>225</v>
      </c>
      <c r="N228" s="72">
        <f t="shared" ca="1" si="118"/>
        <v>225</v>
      </c>
      <c r="O228" s="72">
        <f t="shared" ca="1" si="118"/>
        <v>225</v>
      </c>
      <c r="P228" s="72">
        <f t="shared" ca="1" si="118"/>
        <v>225</v>
      </c>
      <c r="Q228" s="72">
        <f t="shared" ca="1" si="118"/>
        <v>200.80701730698391</v>
      </c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>
        <f t="shared" ref="J229:Q229" ca="1" si="119">IF($H$38=1,AVERAGE(I184:J184),I184)</f>
        <v>104.43864229765013</v>
      </c>
      <c r="K229" s="73">
        <f t="shared" ca="1" si="119"/>
        <v>113.70995780188017</v>
      </c>
      <c r="L229" s="73">
        <f t="shared" ca="1" si="119"/>
        <v>123.8043143691489</v>
      </c>
      <c r="M229" s="73">
        <f t="shared" ca="1" si="119"/>
        <v>129.06599772983773</v>
      </c>
      <c r="N229" s="73">
        <f t="shared" ca="1" si="119"/>
        <v>129.06599772983773</v>
      </c>
      <c r="O229" s="73">
        <f t="shared" ca="1" si="119"/>
        <v>129.06599772983773</v>
      </c>
      <c r="P229" s="73">
        <f t="shared" ca="1" si="119"/>
        <v>129.06599772983773</v>
      </c>
      <c r="Q229" s="73">
        <f t="shared" ca="1" si="119"/>
        <v>129.06599772983773</v>
      </c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>
        <f>IF($G232=1,J$222,0)+$H232</f>
        <v>3.5000000000000001E-3</v>
      </c>
      <c r="K232" s="108">
        <f t="shared" ref="K232:Q236" si="120">IF($G232=1,K$222,0)+$H232</f>
        <v>3.5000000000000001E-3</v>
      </c>
      <c r="L232" s="108">
        <f t="shared" si="120"/>
        <v>3.5000000000000001E-3</v>
      </c>
      <c r="M232" s="108">
        <f t="shared" si="120"/>
        <v>3.5000000000000001E-3</v>
      </c>
      <c r="N232" s="108">
        <f t="shared" si="120"/>
        <v>3.5000000000000001E-3</v>
      </c>
      <c r="O232" s="108">
        <f t="shared" si="120"/>
        <v>3.5000000000000001E-3</v>
      </c>
      <c r="P232" s="108">
        <f t="shared" si="120"/>
        <v>3.5000000000000001E-3</v>
      </c>
      <c r="Q232" s="108">
        <f t="shared" si="120"/>
        <v>3.5000000000000001E-3</v>
      </c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121">S10</f>
        <v>1</v>
      </c>
      <c r="H233" s="110">
        <f t="shared" si="121"/>
        <v>0.02</v>
      </c>
      <c r="I233" s="16"/>
      <c r="J233" s="111">
        <f t="shared" ref="J233:J236" si="122">IF($G233=1,J$222,0)+$H233</f>
        <v>2.5000000000000001E-2</v>
      </c>
      <c r="K233" s="111">
        <f t="shared" si="120"/>
        <v>3.1E-2</v>
      </c>
      <c r="L233" s="111">
        <f t="shared" si="120"/>
        <v>3.5000000000000003E-2</v>
      </c>
      <c r="M233" s="111">
        <f t="shared" si="120"/>
        <v>4.1499999999999995E-2</v>
      </c>
      <c r="N233" s="111">
        <f t="shared" si="120"/>
        <v>4.4999999999999998E-2</v>
      </c>
      <c r="O233" s="111">
        <f t="shared" si="120"/>
        <v>0.05</v>
      </c>
      <c r="P233" s="111">
        <f t="shared" si="120"/>
        <v>0.05</v>
      </c>
      <c r="Q233" s="111">
        <f t="shared" si="120"/>
        <v>0.05</v>
      </c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121"/>
        <v>1</v>
      </c>
      <c r="H234" s="109">
        <f t="shared" si="121"/>
        <v>0.03</v>
      </c>
      <c r="I234" s="16"/>
      <c r="J234" s="111">
        <f t="shared" si="122"/>
        <v>3.4999999999999996E-2</v>
      </c>
      <c r="K234" s="111">
        <f t="shared" si="120"/>
        <v>4.0999999999999995E-2</v>
      </c>
      <c r="L234" s="111">
        <f t="shared" si="120"/>
        <v>4.4999999999999998E-2</v>
      </c>
      <c r="M234" s="111">
        <f t="shared" si="120"/>
        <v>5.1499999999999997E-2</v>
      </c>
      <c r="N234" s="111">
        <f t="shared" si="120"/>
        <v>5.5E-2</v>
      </c>
      <c r="O234" s="111">
        <f t="shared" si="120"/>
        <v>0.06</v>
      </c>
      <c r="P234" s="111">
        <f t="shared" si="120"/>
        <v>0.06</v>
      </c>
      <c r="Q234" s="111">
        <f t="shared" si="120"/>
        <v>0.06</v>
      </c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121"/>
        <v>0</v>
      </c>
      <c r="H235" s="111">
        <f t="shared" si="121"/>
        <v>7.0000000000000007E-2</v>
      </c>
      <c r="I235" s="16"/>
      <c r="J235" s="111">
        <f t="shared" si="122"/>
        <v>7.0000000000000007E-2</v>
      </c>
      <c r="K235" s="111">
        <f t="shared" si="120"/>
        <v>7.0000000000000007E-2</v>
      </c>
      <c r="L235" s="111">
        <f t="shared" si="120"/>
        <v>7.0000000000000007E-2</v>
      </c>
      <c r="M235" s="111">
        <f t="shared" si="120"/>
        <v>7.0000000000000007E-2</v>
      </c>
      <c r="N235" s="111">
        <f t="shared" si="120"/>
        <v>7.0000000000000007E-2</v>
      </c>
      <c r="O235" s="111">
        <f t="shared" si="120"/>
        <v>7.0000000000000007E-2</v>
      </c>
      <c r="P235" s="111">
        <f t="shared" si="120"/>
        <v>7.0000000000000007E-2</v>
      </c>
      <c r="Q235" s="111">
        <f t="shared" si="120"/>
        <v>7.0000000000000007E-2</v>
      </c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121"/>
        <v>0</v>
      </c>
      <c r="H236" s="112">
        <f t="shared" si="121"/>
        <v>8.5000000000000006E-2</v>
      </c>
      <c r="I236" s="17"/>
      <c r="J236" s="112">
        <f t="shared" si="122"/>
        <v>8.5000000000000006E-2</v>
      </c>
      <c r="K236" s="112">
        <f t="shared" si="120"/>
        <v>8.5000000000000006E-2</v>
      </c>
      <c r="L236" s="112">
        <f t="shared" si="120"/>
        <v>8.5000000000000006E-2</v>
      </c>
      <c r="M236" s="112">
        <f t="shared" si="120"/>
        <v>8.5000000000000006E-2</v>
      </c>
      <c r="N236" s="112">
        <f t="shared" si="120"/>
        <v>8.5000000000000006E-2</v>
      </c>
      <c r="O236" s="112">
        <f t="shared" si="120"/>
        <v>8.5000000000000006E-2</v>
      </c>
      <c r="P236" s="112">
        <f t="shared" si="120"/>
        <v>8.5000000000000006E-2</v>
      </c>
      <c r="Q236" s="112">
        <f t="shared" si="120"/>
        <v>8.5000000000000006E-2</v>
      </c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>
        <f ca="1">J225*J232</f>
        <v>0.35000000000000003</v>
      </c>
      <c r="K239" s="82">
        <f t="shared" ref="K239:Q239" ca="1" si="123">K225*K232</f>
        <v>0.35000000000000003</v>
      </c>
      <c r="L239" s="82">
        <f t="shared" ca="1" si="123"/>
        <v>0.35000000000000003</v>
      </c>
      <c r="M239" s="82">
        <f t="shared" ca="1" si="123"/>
        <v>0.35000000000000003</v>
      </c>
      <c r="N239" s="82">
        <f t="shared" ca="1" si="123"/>
        <v>0.35000000000000003</v>
      </c>
      <c r="O239" s="82">
        <f t="shared" ca="1" si="123"/>
        <v>0.35000000000000003</v>
      </c>
      <c r="P239" s="82">
        <f t="shared" ca="1" si="123"/>
        <v>0.35000000000000003</v>
      </c>
      <c r="Q239" s="82">
        <f t="shared" ca="1" si="123"/>
        <v>0.35000000000000003</v>
      </c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>
        <f t="shared" ref="J240:Q240" ca="1" si="124">J226*J233</f>
        <v>0</v>
      </c>
      <c r="K240" s="72">
        <f t="shared" ca="1" si="124"/>
        <v>0</v>
      </c>
      <c r="L240" s="72">
        <f t="shared" ca="1" si="124"/>
        <v>0</v>
      </c>
      <c r="M240" s="72">
        <f t="shared" ca="1" si="124"/>
        <v>0</v>
      </c>
      <c r="N240" s="72">
        <f t="shared" ca="1" si="124"/>
        <v>0</v>
      </c>
      <c r="O240" s="72">
        <f t="shared" ca="1" si="124"/>
        <v>0</v>
      </c>
      <c r="P240" s="72">
        <f t="shared" ca="1" si="124"/>
        <v>0</v>
      </c>
      <c r="Q240" s="72">
        <f t="shared" ca="1" si="124"/>
        <v>0</v>
      </c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>
        <f t="shared" ref="J241:Q241" ca="1" si="125">J227*J234</f>
        <v>9.0260513513925407</v>
      </c>
      <c r="K241" s="72">
        <f t="shared" ca="1" si="125"/>
        <v>9.1198947655586977</v>
      </c>
      <c r="L241" s="72">
        <f t="shared" ca="1" si="125"/>
        <v>8.2764152125908694</v>
      </c>
      <c r="M241" s="72">
        <f t="shared" ca="1" si="125"/>
        <v>7.5631178874009022</v>
      </c>
      <c r="N241" s="72">
        <f t="shared" ca="1" si="125"/>
        <v>6.0978656750030806</v>
      </c>
      <c r="O241" s="72">
        <f t="shared" ca="1" si="125"/>
        <v>4.2317233339705576</v>
      </c>
      <c r="P241" s="72">
        <f t="shared" ca="1" si="125"/>
        <v>1.5619989157245371</v>
      </c>
      <c r="Q241" s="72">
        <f t="shared" ca="1" si="125"/>
        <v>8.3356911053042354E-2</v>
      </c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>
        <f t="shared" ref="J242:Q242" ca="1" si="126">J228*J235</f>
        <v>15.750000000000002</v>
      </c>
      <c r="K242" s="72">
        <f t="shared" ca="1" si="126"/>
        <v>15.750000000000002</v>
      </c>
      <c r="L242" s="72">
        <f t="shared" ca="1" si="126"/>
        <v>15.750000000000002</v>
      </c>
      <c r="M242" s="72">
        <f t="shared" ca="1" si="126"/>
        <v>15.750000000000002</v>
      </c>
      <c r="N242" s="72">
        <f t="shared" ca="1" si="126"/>
        <v>15.750000000000002</v>
      </c>
      <c r="O242" s="72">
        <f t="shared" ca="1" si="126"/>
        <v>15.750000000000002</v>
      </c>
      <c r="P242" s="72">
        <f t="shared" ca="1" si="126"/>
        <v>15.750000000000002</v>
      </c>
      <c r="Q242" s="72">
        <f t="shared" ca="1" si="126"/>
        <v>14.056491211488876</v>
      </c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>
        <f t="shared" ref="J243:Q243" ca="1" si="127">J229*J236</f>
        <v>8.8772845953002619</v>
      </c>
      <c r="K243" s="73">
        <f t="shared" ca="1" si="127"/>
        <v>9.6653464131598152</v>
      </c>
      <c r="L243" s="73">
        <f t="shared" ca="1" si="127"/>
        <v>10.523366721377657</v>
      </c>
      <c r="M243" s="73">
        <f t="shared" ca="1" si="127"/>
        <v>10.970609807036208</v>
      </c>
      <c r="N243" s="73">
        <f t="shared" ca="1" si="127"/>
        <v>10.970609807036208</v>
      </c>
      <c r="O243" s="73">
        <f t="shared" ca="1" si="127"/>
        <v>10.970609807036208</v>
      </c>
      <c r="P243" s="73">
        <f t="shared" ca="1" si="127"/>
        <v>10.970609807036208</v>
      </c>
      <c r="Q243" s="73">
        <f t="shared" ca="1" si="127"/>
        <v>10.970609807036208</v>
      </c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>
        <f ca="1">SUM(J239:J243)</f>
        <v>34.0033359466928</v>
      </c>
      <c r="K244" s="51">
        <f t="shared" ref="K244:Q244" ca="1" si="128">SUM(K239:K243)</f>
        <v>34.885241178718516</v>
      </c>
      <c r="L244" s="51">
        <f t="shared" ca="1" si="128"/>
        <v>34.899781933968526</v>
      </c>
      <c r="M244" s="51">
        <f t="shared" ca="1" si="128"/>
        <v>34.633727694437113</v>
      </c>
      <c r="N244" s="51">
        <f t="shared" ca="1" si="128"/>
        <v>33.168475482039291</v>
      </c>
      <c r="O244" s="51">
        <f t="shared" ca="1" si="128"/>
        <v>31.302333141006766</v>
      </c>
      <c r="P244" s="51">
        <f t="shared" ca="1" si="128"/>
        <v>28.632608722760747</v>
      </c>
      <c r="Q244" s="51">
        <f t="shared" ca="1" si="128"/>
        <v>25.460457929578126</v>
      </c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>
        <f>IF(YEAR(J$219)-YEAR($I$147)&lt;=$G247,J242,0)</f>
        <v>0</v>
      </c>
      <c r="K247" s="82">
        <f t="shared" ref="K247:Q247" si="129">IF(YEAR(K$219)-YEAR($I$147)&lt;=$G247,K242,0)</f>
        <v>0</v>
      </c>
      <c r="L247" s="82">
        <f t="shared" si="129"/>
        <v>0</v>
      </c>
      <c r="M247" s="82">
        <f t="shared" si="129"/>
        <v>0</v>
      </c>
      <c r="N247" s="82">
        <f t="shared" si="129"/>
        <v>0</v>
      </c>
      <c r="O247" s="82">
        <f t="shared" si="129"/>
        <v>0</v>
      </c>
      <c r="P247" s="82">
        <f t="shared" si="129"/>
        <v>0</v>
      </c>
      <c r="Q247" s="82">
        <f t="shared" si="129"/>
        <v>0</v>
      </c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30">V13</f>
        <v>3</v>
      </c>
      <c r="H248" s="17"/>
      <c r="I248" s="17"/>
      <c r="J248" s="73">
        <f t="shared" ref="J248:Q248" ca="1" si="131">IF(YEAR(J$219)-YEAR($I$147)&lt;=$G248,J243,0)</f>
        <v>8.8772845953002619</v>
      </c>
      <c r="K248" s="73">
        <f t="shared" ca="1" si="131"/>
        <v>9.6653464131598152</v>
      </c>
      <c r="L248" s="73">
        <f t="shared" ca="1" si="131"/>
        <v>10.523366721377657</v>
      </c>
      <c r="M248" s="73">
        <f t="shared" si="131"/>
        <v>0</v>
      </c>
      <c r="N248" s="73">
        <f t="shared" si="131"/>
        <v>0</v>
      </c>
      <c r="O248" s="73">
        <f t="shared" si="131"/>
        <v>0</v>
      </c>
      <c r="P248" s="73">
        <f t="shared" si="131"/>
        <v>0</v>
      </c>
      <c r="Q248" s="73">
        <f t="shared" si="131"/>
        <v>0</v>
      </c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>
        <f ca="1">SUM(J247:J248)</f>
        <v>8.8772845953002619</v>
      </c>
      <c r="K249" s="51">
        <f t="shared" ref="K249:Q249" ca="1" si="132">SUM(K247:K248)</f>
        <v>9.6653464131598152</v>
      </c>
      <c r="L249" s="51">
        <f t="shared" ca="1" si="132"/>
        <v>10.523366721377657</v>
      </c>
      <c r="M249" s="51">
        <f t="shared" si="132"/>
        <v>0</v>
      </c>
      <c r="N249" s="51">
        <f t="shared" si="132"/>
        <v>0</v>
      </c>
      <c r="O249" s="51">
        <f t="shared" si="132"/>
        <v>0</v>
      </c>
      <c r="P249" s="51">
        <f t="shared" si="132"/>
        <v>0</v>
      </c>
      <c r="Q249" s="51">
        <f t="shared" si="132"/>
        <v>0</v>
      </c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>
        <f>MAX(0,MIN($G252/$H252,$G252-SUM($I252:I252)))</f>
        <v>0.1</v>
      </c>
      <c r="K252" s="82">
        <f>MAX(0,MIN($G252/$H252,$G252-SUM($I252:J252)))</f>
        <v>0.1</v>
      </c>
      <c r="L252" s="82">
        <f>MAX(0,MIN($G252/$H252,$G252-SUM($I252:K252)))</f>
        <v>0.1</v>
      </c>
      <c r="M252" s="82">
        <f>MAX(0,MIN($G252/$H252,$G252-SUM($I252:L252)))</f>
        <v>0.1</v>
      </c>
      <c r="N252" s="82">
        <f>MAX(0,MIN($G252/$H252,$G252-SUM($I252:M252)))</f>
        <v>9.9999999999999978E-2</v>
      </c>
      <c r="O252" s="82">
        <f>MAX(0,MIN($G252/$H252,$G252-SUM($I252:N252)))</f>
        <v>0</v>
      </c>
      <c r="P252" s="82">
        <f>MAX(0,MIN($G252/$H252,$G252-SUM($I252:O252)))</f>
        <v>0</v>
      </c>
      <c r="Q252" s="82">
        <f>MAX(0,MIN($G252/$H252,$G252-SUM($I252:P252)))</f>
        <v>0</v>
      </c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>
        <f>MAX(0,MIN($G253/$H253,$G253-SUM($I253:I253)))</f>
        <v>0.57291666666666663</v>
      </c>
      <c r="K253" s="72">
        <f>MAX(0,MIN($G253/$H253,$G253-SUM($I253:J253)))</f>
        <v>0.57291666666666663</v>
      </c>
      <c r="L253" s="72">
        <f>MAX(0,MIN($G253/$H253,$G253-SUM($I253:K253)))</f>
        <v>0.57291666666666663</v>
      </c>
      <c r="M253" s="72">
        <f>MAX(0,MIN($G253/$H253,$G253-SUM($I253:L253)))</f>
        <v>0.57291666666666663</v>
      </c>
      <c r="N253" s="72">
        <f>MAX(0,MIN($G253/$H253,$G253-SUM($I253:M253)))</f>
        <v>0.57291666666666663</v>
      </c>
      <c r="O253" s="72">
        <f>MAX(0,MIN($G253/$H253,$G253-SUM($I253:N253)))</f>
        <v>0.57291666666666663</v>
      </c>
      <c r="P253" s="72">
        <f>MAX(0,MIN($G253/$H253,$G253-SUM($I253:O253)))</f>
        <v>4.4408920985006262E-16</v>
      </c>
      <c r="Q253" s="72">
        <f>MAX(0,MIN($G253/$H253,$G253-SUM($I253:P253)))</f>
        <v>0</v>
      </c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>
        <f>MAX(0,MIN($G254/$H254,$G254-SUM($I254:I254)))</f>
        <v>0.5625</v>
      </c>
      <c r="K254" s="72">
        <f>MAX(0,MIN($G254/$H254,$G254-SUM($I254:J254)))</f>
        <v>0.5625</v>
      </c>
      <c r="L254" s="72">
        <f>MAX(0,MIN($G254/$H254,$G254-SUM($I254:K254)))</f>
        <v>0.5625</v>
      </c>
      <c r="M254" s="72">
        <f>MAX(0,MIN($G254/$H254,$G254-SUM($I254:L254)))</f>
        <v>0.5625</v>
      </c>
      <c r="N254" s="72">
        <f>MAX(0,MIN($G254/$H254,$G254-SUM($I254:M254)))</f>
        <v>0.5625</v>
      </c>
      <c r="O254" s="72">
        <f>MAX(0,MIN($G254/$H254,$G254-SUM($I254:N254)))</f>
        <v>0.5625</v>
      </c>
      <c r="P254" s="72">
        <f>MAX(0,MIN($G254/$H254,$G254-SUM($I254:O254)))</f>
        <v>0.5625</v>
      </c>
      <c r="Q254" s="72">
        <f>MAX(0,MIN($G254/$H254,$G254-SUM($I254:P254)))</f>
        <v>0.5625</v>
      </c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>
        <f>MAX(0,MIN($G255/$H255,$G255-SUM($I255:I255)))</f>
        <v>0.25</v>
      </c>
      <c r="K255" s="73">
        <f>MAX(0,MIN($G255/$H255,$G255-SUM($I255:J255)))</f>
        <v>0.25</v>
      </c>
      <c r="L255" s="73">
        <f>MAX(0,MIN($G255/$H255,$G255-SUM($I255:K255)))</f>
        <v>0.25</v>
      </c>
      <c r="M255" s="73">
        <f>MAX(0,MIN($G255/$H255,$G255-SUM($I255:L255)))</f>
        <v>0.25</v>
      </c>
      <c r="N255" s="73">
        <f>MAX(0,MIN($G255/$H255,$G255-SUM($I255:M255)))</f>
        <v>0.25</v>
      </c>
      <c r="O255" s="73">
        <f>MAX(0,MIN($G255/$H255,$G255-SUM($I255:N255)))</f>
        <v>0.25</v>
      </c>
      <c r="P255" s="73">
        <f>MAX(0,MIN($G255/$H255,$G255-SUM($I255:O255)))</f>
        <v>0.25</v>
      </c>
      <c r="Q255" s="73">
        <f>MAX(0,MIN($G255/$H255,$G255-SUM($I255:P255)))</f>
        <v>0.25</v>
      </c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>
        <f>SUM(J252:J255)</f>
        <v>1.4854166666666666</v>
      </c>
      <c r="K256" s="51">
        <f t="shared" ref="K256:Q256" si="133">SUM(K252:K255)</f>
        <v>1.4854166666666666</v>
      </c>
      <c r="L256" s="51">
        <f t="shared" si="133"/>
        <v>1.4854166666666666</v>
      </c>
      <c r="M256" s="51">
        <f t="shared" si="133"/>
        <v>1.4854166666666666</v>
      </c>
      <c r="N256" s="51">
        <f t="shared" si="133"/>
        <v>1.4854166666666666</v>
      </c>
      <c r="O256" s="51">
        <f t="shared" si="133"/>
        <v>1.3854166666666665</v>
      </c>
      <c r="P256" s="51">
        <f t="shared" si="133"/>
        <v>0.81250000000000044</v>
      </c>
      <c r="Q256" s="51">
        <f t="shared" si="133"/>
        <v>0.8125</v>
      </c>
    </row>
    <row r="258" spans="1:25" x14ac:dyDescent="0.2">
      <c r="B258" s="22" t="s">
        <v>158</v>
      </c>
    </row>
    <row r="259" spans="1:25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>
        <f ca="1">J244</f>
        <v>34.0033359466928</v>
      </c>
      <c r="K259" s="82">
        <f t="shared" ref="K259:Q259" ca="1" si="134">K244</f>
        <v>34.885241178718516</v>
      </c>
      <c r="L259" s="82">
        <f t="shared" ca="1" si="134"/>
        <v>34.899781933968526</v>
      </c>
      <c r="M259" s="82">
        <f t="shared" ca="1" si="134"/>
        <v>34.633727694437113</v>
      </c>
      <c r="N259" s="82">
        <f t="shared" ca="1" si="134"/>
        <v>33.168475482039291</v>
      </c>
      <c r="O259" s="82">
        <f t="shared" ca="1" si="134"/>
        <v>31.302333141006766</v>
      </c>
      <c r="P259" s="82">
        <f t="shared" ca="1" si="134"/>
        <v>28.632608722760747</v>
      </c>
      <c r="Q259" s="82">
        <f t="shared" ca="1" si="134"/>
        <v>25.460457929578126</v>
      </c>
    </row>
    <row r="260" spans="1:25" x14ac:dyDescent="0.2">
      <c r="B260" s="20" t="s">
        <v>157</v>
      </c>
      <c r="J260" s="50">
        <f>J256</f>
        <v>1.4854166666666666</v>
      </c>
      <c r="K260" s="50">
        <f t="shared" ref="K260:Q260" si="135">K256</f>
        <v>1.4854166666666666</v>
      </c>
      <c r="L260" s="50">
        <f t="shared" si="135"/>
        <v>1.4854166666666666</v>
      </c>
      <c r="M260" s="50">
        <f t="shared" si="135"/>
        <v>1.4854166666666666</v>
      </c>
      <c r="N260" s="50">
        <f t="shared" si="135"/>
        <v>1.4854166666666666</v>
      </c>
      <c r="O260" s="50">
        <f t="shared" si="135"/>
        <v>1.3854166666666665</v>
      </c>
      <c r="P260" s="50">
        <f t="shared" si="135"/>
        <v>0.81250000000000044</v>
      </c>
      <c r="Q260" s="50">
        <f t="shared" si="135"/>
        <v>0.8125</v>
      </c>
    </row>
    <row r="261" spans="1:25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>
        <f ca="1">SUM(J259:J260)</f>
        <v>35.488752613359466</v>
      </c>
      <c r="K261" s="51">
        <f t="shared" ref="K261:Q261" ca="1" si="136">SUM(K259:K260)</f>
        <v>36.370657845385182</v>
      </c>
      <c r="L261" s="51">
        <f t="shared" ca="1" si="136"/>
        <v>36.385198600635192</v>
      </c>
      <c r="M261" s="51">
        <f t="shared" ca="1" si="136"/>
        <v>36.119144361103778</v>
      </c>
      <c r="N261" s="51">
        <f t="shared" ca="1" si="136"/>
        <v>34.653892148705957</v>
      </c>
      <c r="O261" s="51">
        <f t="shared" ca="1" si="136"/>
        <v>32.687749807673434</v>
      </c>
      <c r="P261" s="51">
        <f t="shared" ca="1" si="136"/>
        <v>29.445108722760747</v>
      </c>
      <c r="Q261" s="51">
        <f t="shared" ca="1" si="136"/>
        <v>26.272957929578126</v>
      </c>
    </row>
    <row r="262" spans="1:25" x14ac:dyDescent="0.2">
      <c r="B262" s="20" t="s">
        <v>159</v>
      </c>
      <c r="J262" s="50">
        <f ca="1">-J171</f>
        <v>-1.2500000000000001E-2</v>
      </c>
      <c r="K262" s="50">
        <f t="shared" ref="K262:Q262" ca="1" si="137">-K171</f>
        <v>-1.2500000000000001E-2</v>
      </c>
      <c r="L262" s="50">
        <f t="shared" ca="1" si="137"/>
        <v>-1.2500000000000001E-2</v>
      </c>
      <c r="M262" s="50">
        <f t="shared" ca="1" si="137"/>
        <v>-1.2500000000000001E-2</v>
      </c>
      <c r="N262" s="50">
        <f t="shared" ca="1" si="137"/>
        <v>-1.2500000000000001E-2</v>
      </c>
      <c r="O262" s="50">
        <f t="shared" ca="1" si="137"/>
        <v>-1.2500000000000001E-2</v>
      </c>
      <c r="P262" s="50">
        <f t="shared" ca="1" si="137"/>
        <v>-1.2500000000000001E-2</v>
      </c>
      <c r="Q262" s="50">
        <f t="shared" ca="1" si="137"/>
        <v>-1.2500000000000001E-2</v>
      </c>
    </row>
    <row r="263" spans="1:25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>
        <f ca="1">SUM(J261:J262)</f>
        <v>35.476252613359463</v>
      </c>
      <c r="K263" s="51">
        <f t="shared" ref="K263:Q263" ca="1" si="138">SUM(K261:K262)</f>
        <v>36.358157845385179</v>
      </c>
      <c r="L263" s="51">
        <f t="shared" ca="1" si="138"/>
        <v>36.372698600635189</v>
      </c>
      <c r="M263" s="51">
        <f t="shared" ca="1" si="138"/>
        <v>36.106644361103776</v>
      </c>
      <c r="N263" s="51">
        <f t="shared" ca="1" si="138"/>
        <v>34.641392148705954</v>
      </c>
      <c r="O263" s="51">
        <f t="shared" ca="1" si="138"/>
        <v>32.675249807673431</v>
      </c>
      <c r="P263" s="51">
        <f t="shared" ca="1" si="138"/>
        <v>29.432608722760747</v>
      </c>
      <c r="Q263" s="51">
        <f t="shared" ca="1" si="138"/>
        <v>26.260457929578127</v>
      </c>
    </row>
    <row r="265" spans="1:25" x14ac:dyDescent="0.2">
      <c r="B265" s="22" t="s">
        <v>160</v>
      </c>
    </row>
    <row r="266" spans="1:25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>
        <f ca="1">J249</f>
        <v>8.8772845953002619</v>
      </c>
      <c r="K266" s="82">
        <f t="shared" ref="K266:Q266" ca="1" si="139">K249</f>
        <v>9.6653464131598152</v>
      </c>
      <c r="L266" s="82">
        <f t="shared" ca="1" si="139"/>
        <v>10.523366721377657</v>
      </c>
      <c r="M266" s="82">
        <f t="shared" si="139"/>
        <v>0</v>
      </c>
      <c r="N266" s="82">
        <f t="shared" si="139"/>
        <v>0</v>
      </c>
      <c r="O266" s="82">
        <f t="shared" si="139"/>
        <v>0</v>
      </c>
      <c r="P266" s="82">
        <f t="shared" si="139"/>
        <v>0</v>
      </c>
      <c r="Q266" s="82">
        <f t="shared" si="139"/>
        <v>0</v>
      </c>
    </row>
    <row r="267" spans="1:25" x14ac:dyDescent="0.2">
      <c r="B267" s="20" t="s">
        <v>157</v>
      </c>
      <c r="J267" s="50">
        <f>J256</f>
        <v>1.4854166666666666</v>
      </c>
      <c r="K267" s="50">
        <f t="shared" ref="K267:Q267" si="140">K256</f>
        <v>1.4854166666666666</v>
      </c>
      <c r="L267" s="50">
        <f t="shared" si="140"/>
        <v>1.4854166666666666</v>
      </c>
      <c r="M267" s="50">
        <f t="shared" si="140"/>
        <v>1.4854166666666666</v>
      </c>
      <c r="N267" s="50">
        <f t="shared" si="140"/>
        <v>1.4854166666666666</v>
      </c>
      <c r="O267" s="50">
        <f t="shared" si="140"/>
        <v>1.3854166666666665</v>
      </c>
      <c r="P267" s="50">
        <f t="shared" si="140"/>
        <v>0.81250000000000044</v>
      </c>
      <c r="Q267" s="50">
        <f t="shared" si="140"/>
        <v>0.8125</v>
      </c>
    </row>
    <row r="268" spans="1:25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>
        <f ca="1">SUM(J266:J267)</f>
        <v>10.362701261966929</v>
      </c>
      <c r="K268" s="51">
        <f t="shared" ref="K268:Q268" ca="1" si="141">SUM(K266:K267)</f>
        <v>11.150763079826483</v>
      </c>
      <c r="L268" s="51">
        <f t="shared" ca="1" si="141"/>
        <v>12.008783388044325</v>
      </c>
      <c r="M268" s="51">
        <f t="shared" si="141"/>
        <v>1.4854166666666666</v>
      </c>
      <c r="N268" s="51">
        <f t="shared" si="141"/>
        <v>1.4854166666666666</v>
      </c>
      <c r="O268" s="51">
        <f t="shared" si="141"/>
        <v>1.3854166666666665</v>
      </c>
      <c r="P268" s="51">
        <f t="shared" si="141"/>
        <v>0.81250000000000044</v>
      </c>
      <c r="Q268" s="51">
        <f t="shared" si="141"/>
        <v>0.8125</v>
      </c>
    </row>
    <row r="272" spans="1:25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142">J$116</f>
        <v>43100</v>
      </c>
      <c r="K275" s="54">
        <f t="shared" si="142"/>
        <v>43465</v>
      </c>
      <c r="L275" s="54">
        <f t="shared" si="142"/>
        <v>43830</v>
      </c>
      <c r="M275" s="54">
        <f t="shared" si="142"/>
        <v>44196</v>
      </c>
      <c r="N275" s="54">
        <f t="shared" si="142"/>
        <v>44561</v>
      </c>
      <c r="O275" s="54">
        <f t="shared" si="142"/>
        <v>44926</v>
      </c>
      <c r="P275" s="54">
        <f t="shared" si="142"/>
        <v>45291</v>
      </c>
      <c r="Q275" s="54">
        <f t="shared" si="142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>
        <f>SUM(I181:I182)</f>
        <v>275</v>
      </c>
      <c r="J279" s="82">
        <f t="shared" ref="J279:Q279" ca="1" si="143">SUM(J181:J182)</f>
        <v>240.7743629367167</v>
      </c>
      <c r="K279" s="82">
        <f t="shared" ca="1" si="143"/>
        <v>204.09855245639062</v>
      </c>
      <c r="L279" s="82">
        <f t="shared" ca="1" si="143"/>
        <v>163.74212365875911</v>
      </c>
      <c r="M279" s="82">
        <f t="shared" ca="1" si="143"/>
        <v>129.97119235680992</v>
      </c>
      <c r="N279" s="82">
        <f t="shared" ca="1" si="143"/>
        <v>91.769377643302107</v>
      </c>
      <c r="O279" s="82">
        <f t="shared" ca="1" si="143"/>
        <v>49.288066822383158</v>
      </c>
      <c r="P279" s="82">
        <f t="shared" ca="1" si="143"/>
        <v>2.7785637017680784</v>
      </c>
      <c r="Q279" s="82">
        <f t="shared" ca="1" si="143"/>
        <v>0</v>
      </c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>
        <f>SUM(I181:I183)</f>
        <v>500</v>
      </c>
      <c r="J280" s="72">
        <f t="shared" ref="J280:Q280" ca="1" si="144">SUM(J181:J183)</f>
        <v>465.77436293671667</v>
      </c>
      <c r="K280" s="72">
        <f t="shared" ca="1" si="144"/>
        <v>429.09855245639062</v>
      </c>
      <c r="L280" s="72">
        <f t="shared" ca="1" si="144"/>
        <v>388.74212365875911</v>
      </c>
      <c r="M280" s="72">
        <f t="shared" ca="1" si="144"/>
        <v>354.97119235680992</v>
      </c>
      <c r="N280" s="72">
        <f t="shared" ca="1" si="144"/>
        <v>316.76937764330211</v>
      </c>
      <c r="O280" s="72">
        <f t="shared" ca="1" si="144"/>
        <v>274.28806682238314</v>
      </c>
      <c r="P280" s="72">
        <f t="shared" ca="1" si="144"/>
        <v>227.77856370176806</v>
      </c>
      <c r="Q280" s="72">
        <f t="shared" ca="1" si="144"/>
        <v>176.61403461396782</v>
      </c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>
        <f>I185</f>
        <v>600</v>
      </c>
      <c r="J281" s="73">
        <f t="shared" ref="J281:Q281" ca="1" si="145">J185</f>
        <v>574.65164753201691</v>
      </c>
      <c r="K281" s="73">
        <f t="shared" ca="1" si="145"/>
        <v>547.64118346485066</v>
      </c>
      <c r="L281" s="73">
        <f t="shared" ca="1" si="145"/>
        <v>517.80812138859687</v>
      </c>
      <c r="M281" s="73">
        <f t="shared" ca="1" si="145"/>
        <v>484.03719008664768</v>
      </c>
      <c r="N281" s="73">
        <f t="shared" ca="1" si="145"/>
        <v>445.83537537313987</v>
      </c>
      <c r="O281" s="73">
        <f t="shared" ca="1" si="145"/>
        <v>403.35406455222085</v>
      </c>
      <c r="P281" s="73">
        <f t="shared" ca="1" si="145"/>
        <v>356.84456143160583</v>
      </c>
      <c r="Q281" s="73">
        <f t="shared" ca="1" si="145"/>
        <v>305.68003234380558</v>
      </c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>
        <f>I50</f>
        <v>90</v>
      </c>
      <c r="J284" s="82">
        <f t="shared" ref="J284:Q284" si="146">J50</f>
        <v>94.5</v>
      </c>
      <c r="K284" s="82">
        <f t="shared" si="146"/>
        <v>100.17</v>
      </c>
      <c r="L284" s="82">
        <f t="shared" si="146"/>
        <v>107.18190000000001</v>
      </c>
      <c r="M284" s="82">
        <f t="shared" si="146"/>
        <v>113.61281400000001</v>
      </c>
      <c r="N284" s="82">
        <f t="shared" si="146"/>
        <v>119.29345470000001</v>
      </c>
      <c r="O284" s="82">
        <f t="shared" si="146"/>
        <v>124.06519288800001</v>
      </c>
      <c r="P284" s="82">
        <f t="shared" si="146"/>
        <v>129.02780060352001</v>
      </c>
      <c r="Q284" s="82">
        <f t="shared" si="146"/>
        <v>134.18891262766081</v>
      </c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72">
        <f ca="1">J285</f>
        <v>25.12605135139254</v>
      </c>
      <c r="J285" s="72">
        <f ca="1">J244-J249</f>
        <v>25.12605135139254</v>
      </c>
      <c r="K285" s="72">
        <f t="shared" ref="K285:Q285" ca="1" si="147">K244-K249</f>
        <v>25.219894765558699</v>
      </c>
      <c r="L285" s="72">
        <f t="shared" ca="1" si="147"/>
        <v>24.376415212590871</v>
      </c>
      <c r="M285" s="72">
        <f t="shared" ca="1" si="147"/>
        <v>34.633727694437113</v>
      </c>
      <c r="N285" s="72">
        <f t="shared" ca="1" si="147"/>
        <v>33.168475482039291</v>
      </c>
      <c r="O285" s="72">
        <f t="shared" ca="1" si="147"/>
        <v>31.302333141006766</v>
      </c>
      <c r="P285" s="72">
        <f t="shared" ca="1" si="147"/>
        <v>28.632608722760747</v>
      </c>
      <c r="Q285" s="72">
        <f t="shared" ca="1" si="147"/>
        <v>25.460457929578126</v>
      </c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73">
        <f>-I155</f>
        <v>17</v>
      </c>
      <c r="J286" s="73">
        <f>-J155</f>
        <v>17.850000000000001</v>
      </c>
      <c r="K286" s="73">
        <f t="shared" ref="K286:Q286" si="148">-K155</f>
        <v>18.920999999999999</v>
      </c>
      <c r="L286" s="73">
        <f t="shared" si="148"/>
        <v>20.245470000000001</v>
      </c>
      <c r="M286" s="73">
        <f t="shared" si="148"/>
        <v>21.460198200000001</v>
      </c>
      <c r="N286" s="73">
        <f t="shared" si="148"/>
        <v>22.533208110000004</v>
      </c>
      <c r="O286" s="73">
        <f t="shared" si="148"/>
        <v>23.434536434400002</v>
      </c>
      <c r="P286" s="73">
        <f t="shared" si="148"/>
        <v>24.371917891776004</v>
      </c>
      <c r="Q286" s="73">
        <f t="shared" si="148"/>
        <v>25.346794607447041</v>
      </c>
    </row>
    <row r="288" spans="2:17" x14ac:dyDescent="0.2">
      <c r="B288" s="22" t="s">
        <v>13</v>
      </c>
    </row>
    <row r="289" spans="1:25" x14ac:dyDescent="0.2">
      <c r="B289" s="19" t="s">
        <v>174</v>
      </c>
      <c r="C289" s="19"/>
      <c r="D289" s="19"/>
      <c r="E289" s="19"/>
      <c r="F289" s="19"/>
      <c r="G289" s="19"/>
      <c r="H289" s="19"/>
      <c r="I289" s="122">
        <f>I279/I$284</f>
        <v>3.0555555555555554</v>
      </c>
      <c r="J289" s="122">
        <f t="shared" ref="J289:Q289" ca="1" si="149">J279/J$284</f>
        <v>2.5478768564731924</v>
      </c>
      <c r="K289" s="122">
        <f t="shared" ca="1" si="149"/>
        <v>2.037521737609969</v>
      </c>
      <c r="L289" s="122">
        <f t="shared" ca="1" si="149"/>
        <v>1.5277031257960447</v>
      </c>
      <c r="M289" s="122">
        <f t="shared" ca="1" si="149"/>
        <v>1.1439835682338606</v>
      </c>
      <c r="N289" s="122">
        <f t="shared" ca="1" si="149"/>
        <v>0.7692742059829214</v>
      </c>
      <c r="O289" s="122">
        <f t="shared" ca="1" si="149"/>
        <v>0.39727554260023612</v>
      </c>
      <c r="P289" s="122">
        <f t="shared" ca="1" si="149"/>
        <v>2.153461260884483E-2</v>
      </c>
      <c r="Q289" s="122">
        <f t="shared" ca="1" si="149"/>
        <v>0</v>
      </c>
    </row>
    <row r="290" spans="1:25" x14ac:dyDescent="0.2">
      <c r="B290" s="16" t="s">
        <v>175</v>
      </c>
      <c r="C290" s="16"/>
      <c r="D290" s="16"/>
      <c r="E290" s="16"/>
      <c r="F290" s="16"/>
      <c r="G290" s="16"/>
      <c r="H290" s="16"/>
      <c r="I290" s="123">
        <f t="shared" ref="I290:Q290" si="150">I280/I$284</f>
        <v>5.5555555555555554</v>
      </c>
      <c r="J290" s="123">
        <f t="shared" ca="1" si="150"/>
        <v>4.9288292374255729</v>
      </c>
      <c r="K290" s="123">
        <f t="shared" ca="1" si="150"/>
        <v>4.2837032290744794</v>
      </c>
      <c r="L290" s="123">
        <f t="shared" ca="1" si="150"/>
        <v>3.6269381645479233</v>
      </c>
      <c r="M290" s="123">
        <f t="shared" ca="1" si="150"/>
        <v>3.1243939821507269</v>
      </c>
      <c r="N290" s="123">
        <f t="shared" ca="1" si="150"/>
        <v>2.655379362094223</v>
      </c>
      <c r="O290" s="123">
        <f t="shared" ca="1" si="150"/>
        <v>2.2108381927072567</v>
      </c>
      <c r="P290" s="123">
        <f t="shared" ca="1" si="150"/>
        <v>1.7653448530963647</v>
      </c>
      <c r="Q290" s="123">
        <f t="shared" ca="1" si="150"/>
        <v>1.3161596674087794</v>
      </c>
    </row>
    <row r="291" spans="1:25" x14ac:dyDescent="0.2">
      <c r="B291" s="17" t="s">
        <v>173</v>
      </c>
      <c r="C291" s="17"/>
      <c r="D291" s="17"/>
      <c r="E291" s="17"/>
      <c r="F291" s="17"/>
      <c r="G291" s="17"/>
      <c r="H291" s="17"/>
      <c r="I291" s="124">
        <f t="shared" ref="I291:Q291" si="151">I281/I$284</f>
        <v>6.666666666666667</v>
      </c>
      <c r="J291" s="124">
        <f t="shared" ca="1" si="151"/>
        <v>6.080969815153618</v>
      </c>
      <c r="K291" s="124">
        <f t="shared" ca="1" si="151"/>
        <v>5.4671177344998565</v>
      </c>
      <c r="L291" s="124">
        <f t="shared" ca="1" si="151"/>
        <v>4.8311153411965719</v>
      </c>
      <c r="M291" s="124">
        <f t="shared" ca="1" si="151"/>
        <v>4.2604101865362445</v>
      </c>
      <c r="N291" s="124">
        <f t="shared" ca="1" si="151"/>
        <v>3.7372995567470966</v>
      </c>
      <c r="O291" s="124">
        <f t="shared" ca="1" si="151"/>
        <v>3.2511460721811729</v>
      </c>
      <c r="P291" s="124">
        <f t="shared" ca="1" si="151"/>
        <v>2.7656408910520542</v>
      </c>
      <c r="Q291" s="124">
        <f t="shared" ca="1" si="151"/>
        <v>2.2779827808277116</v>
      </c>
    </row>
    <row r="293" spans="1:25" x14ac:dyDescent="0.2">
      <c r="B293" s="22" t="s">
        <v>14</v>
      </c>
    </row>
    <row r="294" spans="1:25" x14ac:dyDescent="0.2">
      <c r="B294" s="19" t="s">
        <v>176</v>
      </c>
      <c r="C294" s="19"/>
      <c r="D294" s="19"/>
      <c r="E294" s="19"/>
      <c r="F294" s="19"/>
      <c r="G294" s="19"/>
      <c r="H294" s="19"/>
      <c r="I294" s="122">
        <f ca="1">I284/I285</f>
        <v>3.5819396665768575</v>
      </c>
      <c r="J294" s="122">
        <f ca="1">J284/J285</f>
        <v>3.7610366499057006</v>
      </c>
      <c r="K294" s="122">
        <f t="shared" ref="K294:Q294" ca="1" si="152">K284/K285</f>
        <v>3.9718643131214084</v>
      </c>
      <c r="L294" s="122">
        <f t="shared" ca="1" si="152"/>
        <v>4.396950866862432</v>
      </c>
      <c r="M294" s="122">
        <f t="shared" ca="1" si="152"/>
        <v>3.2804096342839979</v>
      </c>
      <c r="N294" s="122">
        <f t="shared" ca="1" si="152"/>
        <v>3.5965914310592098</v>
      </c>
      <c r="O294" s="122">
        <f t="shared" ca="1" si="152"/>
        <v>3.9634487413167232</v>
      </c>
      <c r="P294" s="122">
        <f t="shared" ca="1" si="152"/>
        <v>4.506323606516256</v>
      </c>
      <c r="Q294" s="122">
        <f t="shared" ca="1" si="152"/>
        <v>5.2704830761024839</v>
      </c>
    </row>
    <row r="295" spans="1:25" x14ac:dyDescent="0.2">
      <c r="B295" s="3" t="s">
        <v>177</v>
      </c>
      <c r="I295" s="124">
        <f ca="1">(I284-I286)/I285</f>
        <v>2.905351062890118</v>
      </c>
      <c r="J295" s="124">
        <f ca="1">(J284-J286)/J285</f>
        <v>3.0506186160346238</v>
      </c>
      <c r="K295" s="124">
        <f t="shared" ref="K295:Q295" ca="1" si="153">(K284-K286)/K285</f>
        <v>3.2216232761984753</v>
      </c>
      <c r="L295" s="124">
        <f t="shared" ca="1" si="153"/>
        <v>3.5664157031217507</v>
      </c>
      <c r="M295" s="124">
        <f t="shared" ca="1" si="153"/>
        <v>2.6607767033636871</v>
      </c>
      <c r="N295" s="124">
        <f t="shared" ca="1" si="153"/>
        <v>2.9172352718591368</v>
      </c>
      <c r="O295" s="124">
        <f t="shared" ca="1" si="153"/>
        <v>3.214797312401342</v>
      </c>
      <c r="P295" s="124">
        <f t="shared" ca="1" si="153"/>
        <v>3.6551291475076293</v>
      </c>
      <c r="Q295" s="124">
        <f t="shared" ca="1" si="153"/>
        <v>4.2749473839497929</v>
      </c>
    </row>
    <row r="296" spans="1:25" s="63" customFormat="1" x14ac:dyDescent="0.2"/>
    <row r="300" spans="1:25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x14ac:dyDescent="0.2">
      <c r="B301" s="8" t="s">
        <v>37</v>
      </c>
    </row>
    <row r="303" spans="1:25" x14ac:dyDescent="0.2">
      <c r="B303" s="8" t="s">
        <v>88</v>
      </c>
      <c r="I303" s="140">
        <f>I$116</f>
        <v>42735</v>
      </c>
      <c r="J303" s="54">
        <f t="shared" ref="J303:Q303" si="154">J$116</f>
        <v>43100</v>
      </c>
      <c r="K303" s="54">
        <f t="shared" si="154"/>
        <v>43465</v>
      </c>
      <c r="L303" s="54">
        <f t="shared" si="154"/>
        <v>43830</v>
      </c>
      <c r="M303" s="54">
        <f t="shared" si="154"/>
        <v>44196</v>
      </c>
      <c r="N303" s="54">
        <f t="shared" si="154"/>
        <v>44561</v>
      </c>
      <c r="O303" s="54">
        <f t="shared" si="154"/>
        <v>44926</v>
      </c>
      <c r="P303" s="54">
        <f t="shared" si="154"/>
        <v>45291</v>
      </c>
      <c r="Q303" s="54">
        <f t="shared" si="154"/>
        <v>45657</v>
      </c>
    </row>
    <row r="304" spans="1:25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>
        <f>J50</f>
        <v>94.5</v>
      </c>
      <c r="K306" s="126">
        <f t="shared" ref="K306:Q306" si="155">K50</f>
        <v>100.17</v>
      </c>
      <c r="L306" s="126">
        <f t="shared" si="155"/>
        <v>107.18190000000001</v>
      </c>
      <c r="M306" s="126">
        <f t="shared" si="155"/>
        <v>113.61281400000001</v>
      </c>
      <c r="N306" s="126">
        <f t="shared" si="155"/>
        <v>119.29345470000001</v>
      </c>
      <c r="O306" s="126">
        <f t="shared" si="155"/>
        <v>124.06519288800001</v>
      </c>
      <c r="P306" s="126">
        <f t="shared" si="155"/>
        <v>129.02780060352001</v>
      </c>
      <c r="Q306" s="126">
        <f t="shared" si="155"/>
        <v>134.18891262766081</v>
      </c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>
        <f ca="1">J185</f>
        <v>574.65164753201691</v>
      </c>
      <c r="K308" s="82">
        <f t="shared" ref="K308:Q308" ca="1" si="156">K185</f>
        <v>547.64118346485066</v>
      </c>
      <c r="L308" s="82">
        <f t="shared" ca="1" si="156"/>
        <v>517.80812138859687</v>
      </c>
      <c r="M308" s="82">
        <f t="shared" ca="1" si="156"/>
        <v>484.03719008664768</v>
      </c>
      <c r="N308" s="82">
        <f t="shared" ca="1" si="156"/>
        <v>445.83537537313987</v>
      </c>
      <c r="O308" s="82">
        <f t="shared" ca="1" si="156"/>
        <v>403.35406455222085</v>
      </c>
      <c r="P308" s="82">
        <f t="shared" ca="1" si="156"/>
        <v>356.84456143160583</v>
      </c>
      <c r="Q308" s="82">
        <f t="shared" ca="1" si="156"/>
        <v>305.68003234380558</v>
      </c>
    </row>
    <row r="309" spans="2:17" x14ac:dyDescent="0.2">
      <c r="B309" s="20" t="s">
        <v>178</v>
      </c>
      <c r="J309" s="50">
        <f ca="1">-J167</f>
        <v>-5</v>
      </c>
      <c r="K309" s="50">
        <f t="shared" ref="K309:Q309" ca="1" si="157">-K167</f>
        <v>-5</v>
      </c>
      <c r="L309" s="50">
        <f t="shared" ca="1" si="157"/>
        <v>-5</v>
      </c>
      <c r="M309" s="50">
        <f t="shared" ca="1" si="157"/>
        <v>-5</v>
      </c>
      <c r="N309" s="50">
        <f t="shared" ca="1" si="157"/>
        <v>-5</v>
      </c>
      <c r="O309" s="50">
        <f t="shared" ca="1" si="157"/>
        <v>-5</v>
      </c>
      <c r="P309" s="50">
        <f t="shared" ca="1" si="157"/>
        <v>-5</v>
      </c>
      <c r="Q309" s="50">
        <f t="shared" ca="1" si="157"/>
        <v>-5</v>
      </c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>
        <f ca="1">SUM(J308:J309)</f>
        <v>569.65164753201691</v>
      </c>
      <c r="K310" s="51">
        <f t="shared" ref="K310:Q310" ca="1" si="158">SUM(K308:K309)</f>
        <v>542.64118346485066</v>
      </c>
      <c r="L310" s="51">
        <f t="shared" ca="1" si="158"/>
        <v>512.80812138859687</v>
      </c>
      <c r="M310" s="51">
        <f t="shared" ca="1" si="158"/>
        <v>479.03719008664768</v>
      </c>
      <c r="N310" s="51">
        <f t="shared" ca="1" si="158"/>
        <v>440.83537537313987</v>
      </c>
      <c r="O310" s="51">
        <f t="shared" ca="1" si="158"/>
        <v>398.35406455222085</v>
      </c>
      <c r="P310" s="51">
        <f t="shared" ca="1" si="158"/>
        <v>351.84456143160583</v>
      </c>
      <c r="Q310" s="51">
        <f t="shared" ca="1" si="158"/>
        <v>300.68003234380558</v>
      </c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>
        <f>$E316*J$306</f>
        <v>661.5</v>
      </c>
      <c r="K316" s="82">
        <f t="shared" ref="K316:Q324" si="159">$E316*K$306</f>
        <v>701.19</v>
      </c>
      <c r="L316" s="82">
        <f t="shared" si="159"/>
        <v>750.27330000000006</v>
      </c>
      <c r="M316" s="82">
        <f t="shared" si="159"/>
        <v>795.28969800000004</v>
      </c>
      <c r="N316" s="82">
        <f t="shared" si="159"/>
        <v>835.05418290000011</v>
      </c>
      <c r="O316" s="82">
        <f t="shared" si="159"/>
        <v>868.45635021600015</v>
      </c>
      <c r="P316" s="82">
        <f t="shared" si="159"/>
        <v>903.19460422463999</v>
      </c>
      <c r="Q316" s="82">
        <f t="shared" si="159"/>
        <v>939.32238839362572</v>
      </c>
    </row>
    <row r="317" spans="2:17" x14ac:dyDescent="0.2">
      <c r="E317" s="127">
        <f>E318-0.5</f>
        <v>7.5</v>
      </c>
      <c r="F317" s="16"/>
      <c r="G317" s="16"/>
      <c r="H317" s="16"/>
      <c r="I317" s="16"/>
      <c r="J317" s="72">
        <f t="shared" ref="J317:J324" si="160">$E317*J$306</f>
        <v>708.75</v>
      </c>
      <c r="K317" s="72">
        <f t="shared" si="159"/>
        <v>751.27499999999998</v>
      </c>
      <c r="L317" s="72">
        <f t="shared" si="159"/>
        <v>803.86425000000008</v>
      </c>
      <c r="M317" s="72">
        <f t="shared" si="159"/>
        <v>852.09610500000008</v>
      </c>
      <c r="N317" s="72">
        <f t="shared" si="159"/>
        <v>894.70091025000011</v>
      </c>
      <c r="O317" s="72">
        <f t="shared" si="159"/>
        <v>930.48894666000012</v>
      </c>
      <c r="P317" s="72">
        <f t="shared" si="159"/>
        <v>967.70850452640002</v>
      </c>
      <c r="Q317" s="72">
        <f t="shared" si="159"/>
        <v>1006.4168447074561</v>
      </c>
    </row>
    <row r="318" spans="2:17" x14ac:dyDescent="0.2">
      <c r="E318" s="127">
        <f>E319-0.5</f>
        <v>8</v>
      </c>
      <c r="F318" s="16"/>
      <c r="G318" s="16"/>
      <c r="H318" s="16"/>
      <c r="I318" s="16"/>
      <c r="J318" s="72">
        <f t="shared" si="160"/>
        <v>756</v>
      </c>
      <c r="K318" s="72">
        <f t="shared" si="159"/>
        <v>801.36</v>
      </c>
      <c r="L318" s="72">
        <f t="shared" si="159"/>
        <v>857.4552000000001</v>
      </c>
      <c r="M318" s="72">
        <f t="shared" si="159"/>
        <v>908.90251200000012</v>
      </c>
      <c r="N318" s="72">
        <f t="shared" si="159"/>
        <v>954.3476376000001</v>
      </c>
      <c r="O318" s="72">
        <f t="shared" si="159"/>
        <v>992.5215431040001</v>
      </c>
      <c r="P318" s="72">
        <f t="shared" si="159"/>
        <v>1032.2224048281601</v>
      </c>
      <c r="Q318" s="72">
        <f t="shared" si="159"/>
        <v>1073.5113010212865</v>
      </c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>
        <f t="shared" si="160"/>
        <v>803.25</v>
      </c>
      <c r="K319" s="72">
        <f t="shared" si="159"/>
        <v>851.44500000000005</v>
      </c>
      <c r="L319" s="72">
        <f t="shared" si="159"/>
        <v>911.04615000000013</v>
      </c>
      <c r="M319" s="72">
        <f t="shared" si="159"/>
        <v>965.70891900000015</v>
      </c>
      <c r="N319" s="72">
        <f t="shared" si="159"/>
        <v>1013.9943649500001</v>
      </c>
      <c r="O319" s="72">
        <f t="shared" si="159"/>
        <v>1054.5541395480002</v>
      </c>
      <c r="P319" s="72">
        <f t="shared" si="159"/>
        <v>1096.7363051299201</v>
      </c>
      <c r="Q319" s="72">
        <f t="shared" si="159"/>
        <v>1140.605757335117</v>
      </c>
    </row>
    <row r="320" spans="2:17" x14ac:dyDescent="0.2">
      <c r="E320" s="128">
        <f>$M$10</f>
        <v>9</v>
      </c>
      <c r="F320" s="129"/>
      <c r="G320" s="129"/>
      <c r="H320" s="129"/>
      <c r="I320" s="129"/>
      <c r="J320" s="130">
        <f t="shared" si="160"/>
        <v>850.5</v>
      </c>
      <c r="K320" s="130">
        <f t="shared" si="159"/>
        <v>901.53</v>
      </c>
      <c r="L320" s="130">
        <f t="shared" si="159"/>
        <v>964.63710000000015</v>
      </c>
      <c r="M320" s="130">
        <f t="shared" si="159"/>
        <v>1022.5153260000002</v>
      </c>
      <c r="N320" s="130">
        <f t="shared" si="159"/>
        <v>1073.6410923000001</v>
      </c>
      <c r="O320" s="130">
        <f t="shared" si="159"/>
        <v>1116.5867359920001</v>
      </c>
      <c r="P320" s="130">
        <f t="shared" si="159"/>
        <v>1161.2502054316801</v>
      </c>
      <c r="Q320" s="130">
        <f t="shared" si="159"/>
        <v>1207.7002136489473</v>
      </c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>
        <f t="shared" si="160"/>
        <v>897.75</v>
      </c>
      <c r="K321" s="72">
        <f t="shared" si="159"/>
        <v>951.61500000000001</v>
      </c>
      <c r="L321" s="72">
        <f t="shared" si="159"/>
        <v>1018.2280500000002</v>
      </c>
      <c r="M321" s="72">
        <f t="shared" si="159"/>
        <v>1079.3217330000002</v>
      </c>
      <c r="N321" s="72">
        <f t="shared" si="159"/>
        <v>1133.2878196500001</v>
      </c>
      <c r="O321" s="72">
        <f t="shared" si="159"/>
        <v>1178.6193324360001</v>
      </c>
      <c r="P321" s="72">
        <f t="shared" si="159"/>
        <v>1225.7641057334401</v>
      </c>
      <c r="Q321" s="72">
        <f t="shared" si="159"/>
        <v>1274.7946699627778</v>
      </c>
    </row>
    <row r="322" spans="2:17" x14ac:dyDescent="0.2">
      <c r="E322" s="127">
        <f>E321+0.5</f>
        <v>10</v>
      </c>
      <c r="F322" s="16"/>
      <c r="G322" s="16"/>
      <c r="H322" s="16"/>
      <c r="I322" s="16"/>
      <c r="J322" s="72">
        <f t="shared" si="160"/>
        <v>945</v>
      </c>
      <c r="K322" s="72">
        <f t="shared" si="159"/>
        <v>1001.7</v>
      </c>
      <c r="L322" s="72">
        <f t="shared" si="159"/>
        <v>1071.8190000000002</v>
      </c>
      <c r="M322" s="72">
        <f t="shared" si="159"/>
        <v>1136.1281400000003</v>
      </c>
      <c r="N322" s="72">
        <f t="shared" si="159"/>
        <v>1192.9345470000001</v>
      </c>
      <c r="O322" s="72">
        <f t="shared" si="159"/>
        <v>1240.65192888</v>
      </c>
      <c r="P322" s="72">
        <f t="shared" si="159"/>
        <v>1290.2780060352002</v>
      </c>
      <c r="Q322" s="72">
        <f t="shared" si="159"/>
        <v>1341.8891262766081</v>
      </c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>
        <f t="shared" si="160"/>
        <v>992.25</v>
      </c>
      <c r="K323" s="72">
        <f t="shared" si="159"/>
        <v>1051.7850000000001</v>
      </c>
      <c r="L323" s="72">
        <f t="shared" si="159"/>
        <v>1125.4099500000002</v>
      </c>
      <c r="M323" s="72">
        <f t="shared" si="159"/>
        <v>1192.9345470000001</v>
      </c>
      <c r="N323" s="72">
        <f t="shared" si="159"/>
        <v>1252.5812743500001</v>
      </c>
      <c r="O323" s="72">
        <f t="shared" si="159"/>
        <v>1302.6845253240001</v>
      </c>
      <c r="P323" s="72">
        <f t="shared" si="159"/>
        <v>1354.79190633696</v>
      </c>
      <c r="Q323" s="72">
        <f t="shared" si="159"/>
        <v>1408.9835825904386</v>
      </c>
    </row>
    <row r="324" spans="2:17" x14ac:dyDescent="0.2">
      <c r="E324" s="127">
        <f>E323+0.5</f>
        <v>11</v>
      </c>
      <c r="F324" s="17"/>
      <c r="G324" s="17"/>
      <c r="H324" s="17"/>
      <c r="I324" s="17"/>
      <c r="J324" s="73">
        <f t="shared" si="160"/>
        <v>1039.5</v>
      </c>
      <c r="K324" s="73">
        <f t="shared" si="159"/>
        <v>1101.8700000000001</v>
      </c>
      <c r="L324" s="73">
        <f t="shared" si="159"/>
        <v>1179.0009000000002</v>
      </c>
      <c r="M324" s="73">
        <f t="shared" si="159"/>
        <v>1249.7409540000001</v>
      </c>
      <c r="N324" s="73">
        <f t="shared" si="159"/>
        <v>1312.2280017</v>
      </c>
      <c r="O324" s="73">
        <f t="shared" si="159"/>
        <v>1364.7171217680002</v>
      </c>
      <c r="P324" s="73">
        <f t="shared" si="159"/>
        <v>1419.30580663872</v>
      </c>
      <c r="Q324" s="73">
        <f t="shared" si="159"/>
        <v>1476.0780389042689</v>
      </c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>
        <f ca="1">J316-J$310</f>
        <v>91.848352467983091</v>
      </c>
      <c r="K330" s="82">
        <f t="shared" ref="K330:Q330" ca="1" si="161">K316-K$310</f>
        <v>158.5488165351494</v>
      </c>
      <c r="L330" s="82">
        <f t="shared" ca="1" si="161"/>
        <v>237.46517861140319</v>
      </c>
      <c r="M330" s="82">
        <f t="shared" ca="1" si="161"/>
        <v>316.25250791335236</v>
      </c>
      <c r="N330" s="82">
        <f t="shared" ca="1" si="161"/>
        <v>394.21880752686025</v>
      </c>
      <c r="O330" s="82">
        <f t="shared" ca="1" si="161"/>
        <v>470.1022856637793</v>
      </c>
      <c r="P330" s="82">
        <f t="shared" ca="1" si="161"/>
        <v>551.35004279303416</v>
      </c>
      <c r="Q330" s="82">
        <f t="shared" ca="1" si="161"/>
        <v>638.64235604982014</v>
      </c>
    </row>
    <row r="331" spans="2:17" x14ac:dyDescent="0.2">
      <c r="E331" s="127">
        <v>7.5</v>
      </c>
      <c r="F331" s="16"/>
      <c r="G331" s="16"/>
      <c r="H331" s="16"/>
      <c r="I331" s="16"/>
      <c r="J331" s="72">
        <f t="shared" ref="J331:Q331" ca="1" si="162">J317-J$310</f>
        <v>139.09835246798309</v>
      </c>
      <c r="K331" s="72">
        <f t="shared" ca="1" si="162"/>
        <v>208.63381653514932</v>
      </c>
      <c r="L331" s="72">
        <f t="shared" ca="1" si="162"/>
        <v>291.05612861140321</v>
      </c>
      <c r="M331" s="72">
        <f t="shared" ca="1" si="162"/>
        <v>373.0589149133524</v>
      </c>
      <c r="N331" s="72">
        <f t="shared" ca="1" si="162"/>
        <v>453.86553487686024</v>
      </c>
      <c r="O331" s="72">
        <f t="shared" ca="1" si="162"/>
        <v>532.13488210777928</v>
      </c>
      <c r="P331" s="72">
        <f t="shared" ca="1" si="162"/>
        <v>615.86394309479419</v>
      </c>
      <c r="Q331" s="72">
        <f t="shared" ca="1" si="162"/>
        <v>705.73681236365053</v>
      </c>
    </row>
    <row r="332" spans="2:17" x14ac:dyDescent="0.2">
      <c r="E332" s="127">
        <v>8</v>
      </c>
      <c r="F332" s="16"/>
      <c r="G332" s="16"/>
      <c r="H332" s="16"/>
      <c r="I332" s="16"/>
      <c r="J332" s="72">
        <f t="shared" ref="J332:Q332" ca="1" si="163">J318-J$310</f>
        <v>186.34835246798309</v>
      </c>
      <c r="K332" s="72">
        <f t="shared" ca="1" si="163"/>
        <v>258.71881653514936</v>
      </c>
      <c r="L332" s="72">
        <f t="shared" ca="1" si="163"/>
        <v>344.64707861140323</v>
      </c>
      <c r="M332" s="72">
        <f t="shared" ca="1" si="163"/>
        <v>429.86532191335243</v>
      </c>
      <c r="N332" s="72">
        <f t="shared" ca="1" si="163"/>
        <v>513.51226222686023</v>
      </c>
      <c r="O332" s="72">
        <f t="shared" ca="1" si="163"/>
        <v>594.16747855177925</v>
      </c>
      <c r="P332" s="72">
        <f t="shared" ca="1" si="163"/>
        <v>680.37784339655423</v>
      </c>
      <c r="Q332" s="72">
        <f t="shared" ca="1" si="163"/>
        <v>772.83126867748092</v>
      </c>
    </row>
    <row r="333" spans="2:17" x14ac:dyDescent="0.2">
      <c r="E333" s="127">
        <v>8.5</v>
      </c>
      <c r="F333" s="16"/>
      <c r="G333" s="16"/>
      <c r="H333" s="16"/>
      <c r="I333" s="16"/>
      <c r="J333" s="72">
        <f t="shared" ref="J333:Q333" ca="1" si="164">J319-J$310</f>
        <v>233.59835246798309</v>
      </c>
      <c r="K333" s="72">
        <f t="shared" ca="1" si="164"/>
        <v>308.80381653514939</v>
      </c>
      <c r="L333" s="72">
        <f t="shared" ca="1" si="164"/>
        <v>398.23802861140325</v>
      </c>
      <c r="M333" s="72">
        <f t="shared" ca="1" si="164"/>
        <v>486.67172891335247</v>
      </c>
      <c r="N333" s="72">
        <f t="shared" ca="1" si="164"/>
        <v>573.15898957686022</v>
      </c>
      <c r="O333" s="72">
        <f t="shared" ca="1" si="164"/>
        <v>656.20007499577935</v>
      </c>
      <c r="P333" s="72">
        <f t="shared" ca="1" si="164"/>
        <v>744.89174369831426</v>
      </c>
      <c r="Q333" s="72">
        <f t="shared" ca="1" si="164"/>
        <v>839.92572499131143</v>
      </c>
    </row>
    <row r="334" spans="2:17" x14ac:dyDescent="0.2">
      <c r="E334" s="128">
        <v>9</v>
      </c>
      <c r="F334" s="129"/>
      <c r="G334" s="129"/>
      <c r="H334" s="129"/>
      <c r="I334" s="129"/>
      <c r="J334" s="130">
        <f t="shared" ref="J334:Q334" ca="1" si="165">J320-J$310</f>
        <v>280.84835246798309</v>
      </c>
      <c r="K334" s="130">
        <f t="shared" ca="1" si="165"/>
        <v>358.88881653514932</v>
      </c>
      <c r="L334" s="130">
        <f t="shared" ca="1" si="165"/>
        <v>451.82897861140327</v>
      </c>
      <c r="M334" s="130">
        <f t="shared" ca="1" si="165"/>
        <v>543.4781359133525</v>
      </c>
      <c r="N334" s="130">
        <f t="shared" ca="1" si="165"/>
        <v>632.80571692686021</v>
      </c>
      <c r="O334" s="130">
        <f t="shared" ca="1" si="165"/>
        <v>718.23267143977921</v>
      </c>
      <c r="P334" s="130">
        <f t="shared" ca="1" si="165"/>
        <v>809.40564400007429</v>
      </c>
      <c r="Q334" s="130">
        <f t="shared" ca="1" si="165"/>
        <v>907.0201813051417</v>
      </c>
    </row>
    <row r="335" spans="2:17" x14ac:dyDescent="0.2">
      <c r="E335" s="127">
        <v>9.5</v>
      </c>
      <c r="F335" s="16"/>
      <c r="G335" s="16"/>
      <c r="H335" s="16"/>
      <c r="I335" s="16"/>
      <c r="J335" s="72">
        <f t="shared" ref="J335:Q335" ca="1" si="166">J321-J$310</f>
        <v>328.09835246798309</v>
      </c>
      <c r="K335" s="72">
        <f t="shared" ca="1" si="166"/>
        <v>408.97381653514935</v>
      </c>
      <c r="L335" s="72">
        <f t="shared" ca="1" si="166"/>
        <v>505.41992861140329</v>
      </c>
      <c r="M335" s="72">
        <f t="shared" ca="1" si="166"/>
        <v>600.28454291335254</v>
      </c>
      <c r="N335" s="72">
        <f t="shared" ca="1" si="166"/>
        <v>692.45244427686021</v>
      </c>
      <c r="O335" s="72">
        <f t="shared" ca="1" si="166"/>
        <v>780.2652678837793</v>
      </c>
      <c r="P335" s="72">
        <f t="shared" ca="1" si="166"/>
        <v>873.91954430183432</v>
      </c>
      <c r="Q335" s="72">
        <f t="shared" ca="1" si="166"/>
        <v>974.11463761897221</v>
      </c>
    </row>
    <row r="336" spans="2:17" x14ac:dyDescent="0.2">
      <c r="E336" s="127">
        <v>10</v>
      </c>
      <c r="F336" s="16"/>
      <c r="G336" s="16"/>
      <c r="H336" s="16"/>
      <c r="I336" s="16"/>
      <c r="J336" s="72">
        <f t="shared" ref="J336:Q336" ca="1" si="167">J322-J$310</f>
        <v>375.34835246798309</v>
      </c>
      <c r="K336" s="72">
        <f t="shared" ca="1" si="167"/>
        <v>459.05881653514939</v>
      </c>
      <c r="L336" s="72">
        <f t="shared" ca="1" si="167"/>
        <v>559.01087861140331</v>
      </c>
      <c r="M336" s="72">
        <f t="shared" ca="1" si="167"/>
        <v>657.09094991335257</v>
      </c>
      <c r="N336" s="72">
        <f t="shared" ca="1" si="167"/>
        <v>752.0991716268602</v>
      </c>
      <c r="O336" s="72">
        <f t="shared" ca="1" si="167"/>
        <v>842.29786432777917</v>
      </c>
      <c r="P336" s="72">
        <f t="shared" ca="1" si="167"/>
        <v>938.43344460359435</v>
      </c>
      <c r="Q336" s="72">
        <f t="shared" ca="1" si="167"/>
        <v>1041.2090939328025</v>
      </c>
    </row>
    <row r="337" spans="2:17" x14ac:dyDescent="0.2">
      <c r="E337" s="127">
        <v>10.5</v>
      </c>
      <c r="F337" s="16"/>
      <c r="G337" s="16"/>
      <c r="H337" s="16"/>
      <c r="I337" s="16"/>
      <c r="J337" s="72">
        <f t="shared" ref="J337:Q337" ca="1" si="168">J323-J$310</f>
        <v>422.59835246798309</v>
      </c>
      <c r="K337" s="72">
        <f t="shared" ca="1" si="168"/>
        <v>509.14381653514943</v>
      </c>
      <c r="L337" s="72">
        <f t="shared" ca="1" si="168"/>
        <v>612.60182861140333</v>
      </c>
      <c r="M337" s="72">
        <f t="shared" ca="1" si="168"/>
        <v>713.89735691335238</v>
      </c>
      <c r="N337" s="72">
        <f t="shared" ca="1" si="168"/>
        <v>811.74589897686019</v>
      </c>
      <c r="O337" s="72">
        <f t="shared" ca="1" si="168"/>
        <v>904.33046077177926</v>
      </c>
      <c r="P337" s="72">
        <f t="shared" ca="1" si="168"/>
        <v>1002.9473449053542</v>
      </c>
      <c r="Q337" s="72">
        <f t="shared" ca="1" si="168"/>
        <v>1108.303550246633</v>
      </c>
    </row>
    <row r="338" spans="2:17" x14ac:dyDescent="0.2">
      <c r="E338" s="127">
        <v>11</v>
      </c>
      <c r="F338" s="17"/>
      <c r="G338" s="17"/>
      <c r="H338" s="17"/>
      <c r="I338" s="17"/>
      <c r="J338" s="73">
        <f t="shared" ref="J338:Q338" ca="1" si="169">J324-J$310</f>
        <v>469.84835246798309</v>
      </c>
      <c r="K338" s="73">
        <f t="shared" ca="1" si="169"/>
        <v>559.22881653514946</v>
      </c>
      <c r="L338" s="73">
        <f t="shared" ca="1" si="169"/>
        <v>666.19277861140336</v>
      </c>
      <c r="M338" s="73">
        <f t="shared" ca="1" si="169"/>
        <v>770.70376391335242</v>
      </c>
      <c r="N338" s="73">
        <f t="shared" ca="1" si="169"/>
        <v>871.39262632686018</v>
      </c>
      <c r="O338" s="73">
        <f t="shared" ca="1" si="169"/>
        <v>966.36305721577935</v>
      </c>
      <c r="P338" s="73">
        <f t="shared" ca="1" si="169"/>
        <v>1067.4612452071142</v>
      </c>
      <c r="Q338" s="73">
        <f t="shared" ca="1" si="169"/>
        <v>1175.3980065604633</v>
      </c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>
        <f>SUM(G15:G16)</f>
        <v>235.9375</v>
      </c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>
        <f ca="1">J330/$H$342</f>
        <v>0.38929103032787538</v>
      </c>
      <c r="K344" s="135">
        <f t="shared" ref="K344:Q344" ca="1" si="170">K330/$H$342</f>
        <v>0.67199498399003721</v>
      </c>
      <c r="L344" s="135">
        <f t="shared" ca="1" si="170"/>
        <v>1.0064749292138944</v>
      </c>
      <c r="M344" s="135">
        <f t="shared" ca="1" si="170"/>
        <v>1.3404079805599041</v>
      </c>
      <c r="N344" s="135">
        <f t="shared" ca="1" si="170"/>
        <v>1.6708611709747718</v>
      </c>
      <c r="O344" s="135">
        <f t="shared" ca="1" si="170"/>
        <v>1.9924865087736341</v>
      </c>
      <c r="P344" s="135">
        <f t="shared" ca="1" si="170"/>
        <v>2.3368478634936549</v>
      </c>
      <c r="Q344" s="135">
        <f t="shared" ca="1" si="170"/>
        <v>2.70682852895288</v>
      </c>
    </row>
    <row r="345" spans="2:17" x14ac:dyDescent="0.2">
      <c r="E345" s="127">
        <v>7.5</v>
      </c>
      <c r="F345" s="16"/>
      <c r="G345" s="16"/>
      <c r="H345" s="16"/>
      <c r="I345" s="16"/>
      <c r="J345" s="132">
        <f t="shared" ref="J345:Q345" ca="1" si="171">J331/$H$342</f>
        <v>0.58955593099012704</v>
      </c>
      <c r="K345" s="132">
        <f t="shared" ca="1" si="171"/>
        <v>0.88427577869202356</v>
      </c>
      <c r="L345" s="132">
        <f t="shared" ca="1" si="171"/>
        <v>1.2336153795450202</v>
      </c>
      <c r="M345" s="132">
        <f t="shared" ca="1" si="171"/>
        <v>1.5811768579108976</v>
      </c>
      <c r="N345" s="132">
        <f t="shared" ca="1" si="171"/>
        <v>1.9236684921933149</v>
      </c>
      <c r="O345" s="132">
        <f t="shared" ca="1" si="171"/>
        <v>2.2554061228409186</v>
      </c>
      <c r="P345" s="132">
        <f t="shared" ca="1" si="171"/>
        <v>2.6102842621236308</v>
      </c>
      <c r="Q345" s="132">
        <f t="shared" ca="1" si="171"/>
        <v>2.991202383528055</v>
      </c>
    </row>
    <row r="346" spans="2:17" x14ac:dyDescent="0.2">
      <c r="E346" s="127">
        <v>8</v>
      </c>
      <c r="F346" s="16"/>
      <c r="G346" s="16"/>
      <c r="H346" s="16"/>
      <c r="I346" s="16"/>
      <c r="J346" s="132">
        <f t="shared" ref="J346:Q346" ca="1" si="172">J332/$H$342</f>
        <v>0.78982083165237871</v>
      </c>
      <c r="K346" s="132">
        <f t="shared" ca="1" si="172"/>
        <v>1.0965565733940106</v>
      </c>
      <c r="L346" s="132">
        <f t="shared" ca="1" si="172"/>
        <v>1.4607558298761461</v>
      </c>
      <c r="M346" s="132">
        <f t="shared" ca="1" si="172"/>
        <v>1.8219457352618911</v>
      </c>
      <c r="N346" s="132">
        <f t="shared" ca="1" si="172"/>
        <v>2.1764758134118578</v>
      </c>
      <c r="O346" s="132">
        <f t="shared" ca="1" si="172"/>
        <v>2.5183257369082033</v>
      </c>
      <c r="P346" s="132">
        <f t="shared" ca="1" si="172"/>
        <v>2.8837206607536072</v>
      </c>
      <c r="Q346" s="132">
        <f t="shared" ca="1" si="172"/>
        <v>3.2755762381032305</v>
      </c>
    </row>
    <row r="347" spans="2:17" x14ac:dyDescent="0.2">
      <c r="E347" s="127">
        <v>8.5</v>
      </c>
      <c r="F347" s="16"/>
      <c r="G347" s="16"/>
      <c r="H347" s="16"/>
      <c r="I347" s="16"/>
      <c r="J347" s="132">
        <f t="shared" ref="J347:Q347" ca="1" si="173">J333/$H$342</f>
        <v>0.99008573231463037</v>
      </c>
      <c r="K347" s="132">
        <f t="shared" ca="1" si="173"/>
        <v>1.3088373680959975</v>
      </c>
      <c r="L347" s="132">
        <f t="shared" ca="1" si="173"/>
        <v>1.6878962802072721</v>
      </c>
      <c r="M347" s="132">
        <f t="shared" ca="1" si="173"/>
        <v>2.0627146126128846</v>
      </c>
      <c r="N347" s="132">
        <f t="shared" ca="1" si="173"/>
        <v>2.4292831346304009</v>
      </c>
      <c r="O347" s="132">
        <f t="shared" ca="1" si="173"/>
        <v>2.7812453509754884</v>
      </c>
      <c r="P347" s="132">
        <f t="shared" ca="1" si="173"/>
        <v>3.1571570593835836</v>
      </c>
      <c r="Q347" s="132">
        <f t="shared" ca="1" si="173"/>
        <v>3.559950092678406</v>
      </c>
    </row>
    <row r="348" spans="2:17" x14ac:dyDescent="0.2">
      <c r="E348" s="128">
        <v>9</v>
      </c>
      <c r="F348" s="129"/>
      <c r="G348" s="129"/>
      <c r="H348" s="129"/>
      <c r="I348" s="129"/>
      <c r="J348" s="133">
        <f t="shared" ref="J348:Q348" ca="1" si="174">J334/$H$342</f>
        <v>1.190350632976882</v>
      </c>
      <c r="K348" s="133">
        <f t="shared" ca="1" si="174"/>
        <v>1.521118162797984</v>
      </c>
      <c r="L348" s="133">
        <f t="shared" ca="1" si="174"/>
        <v>1.915036730538398</v>
      </c>
      <c r="M348" s="133">
        <f t="shared" ca="1" si="174"/>
        <v>2.3034834899638783</v>
      </c>
      <c r="N348" s="133">
        <f t="shared" ca="1" si="174"/>
        <v>2.682090455848944</v>
      </c>
      <c r="O348" s="133">
        <f t="shared" ca="1" si="174"/>
        <v>3.0441649650427727</v>
      </c>
      <c r="P348" s="133">
        <f t="shared" ca="1" si="174"/>
        <v>3.43059345801356</v>
      </c>
      <c r="Q348" s="133">
        <f t="shared" ca="1" si="174"/>
        <v>3.8443239472535806</v>
      </c>
    </row>
    <row r="349" spans="2:17" x14ac:dyDescent="0.2">
      <c r="E349" s="127">
        <v>9.5</v>
      </c>
      <c r="F349" s="16"/>
      <c r="G349" s="16"/>
      <c r="H349" s="16"/>
      <c r="I349" s="16"/>
      <c r="J349" s="132">
        <f t="shared" ref="J349:Q349" ca="1" si="175">J335/$H$342</f>
        <v>1.3906155336391337</v>
      </c>
      <c r="K349" s="132">
        <f t="shared" ca="1" si="175"/>
        <v>1.7333989574999709</v>
      </c>
      <c r="L349" s="132">
        <f t="shared" ca="1" si="175"/>
        <v>2.142177180869524</v>
      </c>
      <c r="M349" s="132">
        <f t="shared" ca="1" si="175"/>
        <v>2.5442523673148716</v>
      </c>
      <c r="N349" s="132">
        <f t="shared" ca="1" si="175"/>
        <v>2.9348977770674871</v>
      </c>
      <c r="O349" s="132">
        <f t="shared" ca="1" si="175"/>
        <v>3.3070845791100578</v>
      </c>
      <c r="P349" s="132">
        <f t="shared" ca="1" si="175"/>
        <v>3.7040298566435363</v>
      </c>
      <c r="Q349" s="132">
        <f t="shared" ca="1" si="175"/>
        <v>4.1286978018287561</v>
      </c>
    </row>
    <row r="350" spans="2:17" x14ac:dyDescent="0.2">
      <c r="E350" s="127">
        <v>10</v>
      </c>
      <c r="F350" s="16"/>
      <c r="G350" s="16"/>
      <c r="H350" s="16"/>
      <c r="I350" s="16"/>
      <c r="J350" s="132">
        <f t="shared" ref="J350:Q350" ca="1" si="176">J336/$H$342</f>
        <v>1.5908804343013854</v>
      </c>
      <c r="K350" s="132">
        <f t="shared" ca="1" si="176"/>
        <v>1.9456797522019578</v>
      </c>
      <c r="L350" s="132">
        <f t="shared" ca="1" si="176"/>
        <v>2.3693176312006496</v>
      </c>
      <c r="M350" s="132">
        <f t="shared" ca="1" si="176"/>
        <v>2.7850212446658653</v>
      </c>
      <c r="N350" s="132">
        <f t="shared" ca="1" si="176"/>
        <v>3.1877050982860298</v>
      </c>
      <c r="O350" s="132">
        <f t="shared" ca="1" si="176"/>
        <v>3.5700041931773421</v>
      </c>
      <c r="P350" s="132">
        <f t="shared" ca="1" si="176"/>
        <v>3.9774662552735123</v>
      </c>
      <c r="Q350" s="132">
        <f t="shared" ca="1" si="176"/>
        <v>4.4130716564039307</v>
      </c>
    </row>
    <row r="351" spans="2:17" x14ac:dyDescent="0.2">
      <c r="E351" s="127">
        <v>10.5</v>
      </c>
      <c r="F351" s="16"/>
      <c r="G351" s="16"/>
      <c r="H351" s="16"/>
      <c r="I351" s="16"/>
      <c r="J351" s="132">
        <f t="shared" ref="J351:Q351" ca="1" si="177">J337/$H$342</f>
        <v>1.791145334963637</v>
      </c>
      <c r="K351" s="132">
        <f t="shared" ca="1" si="177"/>
        <v>2.1579605469039445</v>
      </c>
      <c r="L351" s="132">
        <f t="shared" ca="1" si="177"/>
        <v>2.5964580815317757</v>
      </c>
      <c r="M351" s="132">
        <f t="shared" ca="1" si="177"/>
        <v>3.0257901220168577</v>
      </c>
      <c r="N351" s="132">
        <f t="shared" ca="1" si="177"/>
        <v>3.4405124195045729</v>
      </c>
      <c r="O351" s="132">
        <f t="shared" ca="1" si="177"/>
        <v>3.8329238072446272</v>
      </c>
      <c r="P351" s="132">
        <f t="shared" ca="1" si="177"/>
        <v>4.2509026539034878</v>
      </c>
      <c r="Q351" s="132">
        <f t="shared" ca="1" si="177"/>
        <v>4.6974455109791071</v>
      </c>
    </row>
    <row r="352" spans="2:17" x14ac:dyDescent="0.2">
      <c r="E352" s="127">
        <v>11</v>
      </c>
      <c r="F352" s="17"/>
      <c r="G352" s="17"/>
      <c r="H352" s="17"/>
      <c r="I352" s="17"/>
      <c r="J352" s="134">
        <f t="shared" ref="J352:Q352" ca="1" si="178">J338/$H$342</f>
        <v>1.9914102356258887</v>
      </c>
      <c r="K352" s="134">
        <f t="shared" ca="1" si="178"/>
        <v>2.3702413416059316</v>
      </c>
      <c r="L352" s="134">
        <f t="shared" ca="1" si="178"/>
        <v>2.8235985318629018</v>
      </c>
      <c r="M352" s="134">
        <f t="shared" ca="1" si="178"/>
        <v>3.2665589993678514</v>
      </c>
      <c r="N352" s="134">
        <f t="shared" ca="1" si="178"/>
        <v>3.693319740723116</v>
      </c>
      <c r="O352" s="134">
        <f t="shared" ca="1" si="178"/>
        <v>4.0958434213119128</v>
      </c>
      <c r="P352" s="134">
        <f t="shared" ca="1" si="178"/>
        <v>4.5243390525334641</v>
      </c>
      <c r="Q352" s="134">
        <f t="shared" ca="1" si="178"/>
        <v>4.9818193655542817</v>
      </c>
    </row>
    <row r="355" spans="2:17" x14ac:dyDescent="0.2">
      <c r="B355" s="22" t="s">
        <v>5</v>
      </c>
    </row>
    <row r="356" spans="2:17" x14ac:dyDescent="0.2">
      <c r="B356" s="8" t="s">
        <v>179</v>
      </c>
      <c r="I356" s="8" t="s">
        <v>188</v>
      </c>
      <c r="J356" s="141">
        <f>YEAR(J303)-YEAR($I$303)</f>
        <v>1</v>
      </c>
      <c r="K356" s="141">
        <f t="shared" ref="K356:Q356" si="179">YEAR(K303)-YEAR($I$303)</f>
        <v>2</v>
      </c>
      <c r="L356" s="141">
        <f t="shared" si="179"/>
        <v>3</v>
      </c>
      <c r="M356" s="141">
        <f t="shared" si="179"/>
        <v>4</v>
      </c>
      <c r="N356" s="141">
        <f t="shared" si="179"/>
        <v>5</v>
      </c>
      <c r="O356" s="141">
        <f t="shared" si="179"/>
        <v>6</v>
      </c>
      <c r="P356" s="141">
        <f t="shared" si="179"/>
        <v>7</v>
      </c>
      <c r="Q356" s="141">
        <f t="shared" si="179"/>
        <v>8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>
        <f ca="1">J344^(1/J$356)-1</f>
        <v>-0.61070896967212462</v>
      </c>
      <c r="K358" s="61">
        <f t="shared" ref="K358:Q358" ca="1" si="180">K344^(1/K$356)-1</f>
        <v>-0.18024699818174672</v>
      </c>
      <c r="L358" s="61">
        <f t="shared" ca="1" si="180"/>
        <v>2.1536681218092824E-3</v>
      </c>
      <c r="M358" s="61">
        <f t="shared" ca="1" si="180"/>
        <v>7.5992517459977593E-2</v>
      </c>
      <c r="N358" s="61">
        <f t="shared" ca="1" si="180"/>
        <v>0.1081232659024487</v>
      </c>
      <c r="O358" s="61">
        <f t="shared" ca="1" si="180"/>
        <v>0.12175814494622483</v>
      </c>
      <c r="P358" s="61">
        <f t="shared" ca="1" si="180"/>
        <v>0.12891564398186905</v>
      </c>
      <c r="Q358" s="61">
        <f t="shared" ca="1" si="180"/>
        <v>0.1325505443274444</v>
      </c>
    </row>
    <row r="359" spans="2:17" x14ac:dyDescent="0.2">
      <c r="E359" s="127">
        <v>7.5</v>
      </c>
      <c r="F359" s="16"/>
      <c r="G359" s="16"/>
      <c r="H359" s="16"/>
      <c r="I359" s="16"/>
      <c r="J359" s="62">
        <f t="shared" ref="J359:Q359" ca="1" si="181">J345^(1/J$356)-1</f>
        <v>-0.41044406900987296</v>
      </c>
      <c r="K359" s="62">
        <f t="shared" ca="1" si="181"/>
        <v>-5.9640611950928846E-2</v>
      </c>
      <c r="L359" s="62">
        <f t="shared" ca="1" si="181"/>
        <v>7.249001703587532E-2</v>
      </c>
      <c r="M359" s="62">
        <f t="shared" ca="1" si="181"/>
        <v>0.12136013430153048</v>
      </c>
      <c r="N359" s="62">
        <f t="shared" ca="1" si="181"/>
        <v>0.13979315984120588</v>
      </c>
      <c r="O359" s="62">
        <f t="shared" ca="1" si="181"/>
        <v>0.1451721891764346</v>
      </c>
      <c r="P359" s="62">
        <f t="shared" ca="1" si="181"/>
        <v>0.14690337113346197</v>
      </c>
      <c r="Q359" s="62">
        <f t="shared" ca="1" si="181"/>
        <v>0.14678162286511975</v>
      </c>
    </row>
    <row r="360" spans="2:17" x14ac:dyDescent="0.2">
      <c r="E360" s="127">
        <v>8</v>
      </c>
      <c r="F360" s="16"/>
      <c r="G360" s="16"/>
      <c r="H360" s="16"/>
      <c r="I360" s="16"/>
      <c r="J360" s="62">
        <f t="shared" ref="J360:Q360" ca="1" si="182">J346^(1/J$356)-1</f>
        <v>-0.21017916834762129</v>
      </c>
      <c r="K360" s="62">
        <f t="shared" ca="1" si="182"/>
        <v>4.7165972228858655E-2</v>
      </c>
      <c r="L360" s="62">
        <f t="shared" ca="1" si="182"/>
        <v>0.13464292489671736</v>
      </c>
      <c r="M360" s="62">
        <f t="shared" ca="1" si="182"/>
        <v>0.16180665394610094</v>
      </c>
      <c r="N360" s="62">
        <f t="shared" ca="1" si="182"/>
        <v>0.16829029512107296</v>
      </c>
      <c r="O360" s="62">
        <f t="shared" ca="1" si="182"/>
        <v>0.16641201339265521</v>
      </c>
      <c r="P360" s="62">
        <f t="shared" ca="1" si="182"/>
        <v>0.16334251101248753</v>
      </c>
      <c r="Q360" s="62">
        <f t="shared" ca="1" si="182"/>
        <v>0.15987440246821305</v>
      </c>
    </row>
    <row r="361" spans="2:17" x14ac:dyDescent="0.2">
      <c r="E361" s="127">
        <v>8.5</v>
      </c>
      <c r="F361" s="16"/>
      <c r="G361" s="16"/>
      <c r="H361" s="16"/>
      <c r="I361" s="16"/>
      <c r="J361" s="62">
        <f t="shared" ref="J361:Q361" ca="1" si="183">J347^(1/J$356)-1</f>
        <v>-9.9142676853696265E-3</v>
      </c>
      <c r="K361" s="62">
        <f t="shared" ca="1" si="183"/>
        <v>0.1440443033798986</v>
      </c>
      <c r="L361" s="62">
        <f t="shared" ca="1" si="183"/>
        <v>0.19064397510701991</v>
      </c>
      <c r="M361" s="62">
        <f t="shared" ca="1" si="183"/>
        <v>0.19842203676838555</v>
      </c>
      <c r="N361" s="62">
        <f t="shared" ca="1" si="183"/>
        <v>0.19425103686380685</v>
      </c>
      <c r="O361" s="62">
        <f t="shared" ca="1" si="183"/>
        <v>0.18587764904733906</v>
      </c>
      <c r="P361" s="62">
        <f t="shared" ca="1" si="183"/>
        <v>0.17849576652367571</v>
      </c>
      <c r="Q361" s="62">
        <f t="shared" ca="1" si="183"/>
        <v>0.17200776403004059</v>
      </c>
    </row>
    <row r="362" spans="2:17" x14ac:dyDescent="0.2">
      <c r="E362" s="128">
        <v>9</v>
      </c>
      <c r="F362" s="129"/>
      <c r="G362" s="129"/>
      <c r="H362" s="129"/>
      <c r="I362" s="129"/>
      <c r="J362" s="136">
        <f t="shared" ref="J362:Q362" ca="1" si="184">J348^(1/J$356)-1</f>
        <v>0.19035063297688204</v>
      </c>
      <c r="K362" s="136">
        <f t="shared" ca="1" si="184"/>
        <v>0.23333619212199563</v>
      </c>
      <c r="L362" s="136">
        <f t="shared" ca="1" si="184"/>
        <v>0.24182110375922217</v>
      </c>
      <c r="M362" s="136">
        <f t="shared" ca="1" si="184"/>
        <v>0.23195906056658866</v>
      </c>
      <c r="N362" s="136">
        <f t="shared" ca="1" si="184"/>
        <v>0.2181329312146314</v>
      </c>
      <c r="O362" s="136">
        <f t="shared" ca="1" si="184"/>
        <v>0.203865671338612</v>
      </c>
      <c r="P362" s="136">
        <f t="shared" ca="1" si="184"/>
        <v>0.19256297581237924</v>
      </c>
      <c r="Q362" s="136">
        <f t="shared" ca="1" si="184"/>
        <v>0.18332079635029697</v>
      </c>
    </row>
    <row r="363" spans="2:17" x14ac:dyDescent="0.2">
      <c r="E363" s="127">
        <v>9.5</v>
      </c>
      <c r="F363" s="16"/>
      <c r="G363" s="16"/>
      <c r="H363" s="16"/>
      <c r="I363" s="16"/>
      <c r="J363" s="62">
        <f t="shared" ref="J363:Q363" ca="1" si="185">J349^(1/J$356)-1</f>
        <v>0.39061553363913371</v>
      </c>
      <c r="K363" s="62">
        <f t="shared" ca="1" si="185"/>
        <v>0.31658609953924799</v>
      </c>
      <c r="L363" s="62">
        <f t="shared" ca="1" si="185"/>
        <v>0.28909561049162935</v>
      </c>
      <c r="M363" s="62">
        <f t="shared" ca="1" si="185"/>
        <v>0.26296131113660426</v>
      </c>
      <c r="N363" s="62">
        <f t="shared" ca="1" si="185"/>
        <v>0.24027673083586065</v>
      </c>
      <c r="O363" s="62">
        <f t="shared" ca="1" si="185"/>
        <v>0.22060239292451289</v>
      </c>
      <c r="P363" s="62">
        <f t="shared" ca="1" si="185"/>
        <v>0.20569986210452118</v>
      </c>
      <c r="Q363" s="62">
        <f t="shared" ca="1" si="185"/>
        <v>0.19392387526597998</v>
      </c>
    </row>
    <row r="364" spans="2:17" x14ac:dyDescent="0.2">
      <c r="E364" s="127">
        <v>10</v>
      </c>
      <c r="F364" s="16"/>
      <c r="G364" s="16"/>
      <c r="H364" s="16"/>
      <c r="I364" s="16"/>
      <c r="J364" s="62">
        <f t="shared" ref="J364:Q364" ca="1" si="186">J350^(1/J$356)-1</f>
        <v>0.59088043430138537</v>
      </c>
      <c r="K364" s="62">
        <f t="shared" ca="1" si="186"/>
        <v>0.39487624978058822</v>
      </c>
      <c r="L364" s="62">
        <f t="shared" ca="1" si="186"/>
        <v>0.33313591551010568</v>
      </c>
      <c r="M364" s="62">
        <f t="shared" ca="1" si="186"/>
        <v>0.29183524179602194</v>
      </c>
      <c r="N364" s="62">
        <f t="shared" ca="1" si="186"/>
        <v>0.26094350041074788</v>
      </c>
      <c r="O364" s="62">
        <f t="shared" ca="1" si="186"/>
        <v>0.23626465925541096</v>
      </c>
      <c r="P364" s="62">
        <f t="shared" ca="1" si="186"/>
        <v>0.21803024371155511</v>
      </c>
      <c r="Q364" s="62">
        <f t="shared" ca="1" si="186"/>
        <v>0.2039061206516668</v>
      </c>
    </row>
    <row r="365" spans="2:17" x14ac:dyDescent="0.2">
      <c r="E365" s="127">
        <v>10.5</v>
      </c>
      <c r="F365" s="16"/>
      <c r="G365" s="16"/>
      <c r="H365" s="16"/>
      <c r="I365" s="16"/>
      <c r="J365" s="62">
        <f t="shared" ref="J365:Q365" ca="1" si="187">J351^(1/J$356)-1</f>
        <v>0.79114533496363704</v>
      </c>
      <c r="K365" s="62">
        <f t="shared" ca="1" si="187"/>
        <v>0.46899984578077625</v>
      </c>
      <c r="L365" s="62">
        <f t="shared" ca="1" si="187"/>
        <v>0.3744441753955976</v>
      </c>
      <c r="M365" s="62">
        <f t="shared" ca="1" si="187"/>
        <v>0.31889341584963682</v>
      </c>
      <c r="N365" s="62">
        <f t="shared" ca="1" si="187"/>
        <v>0.28033797223830303</v>
      </c>
      <c r="O365" s="62">
        <f t="shared" ca="1" si="187"/>
        <v>0.25099343626889814</v>
      </c>
      <c r="P365" s="62">
        <f t="shared" ca="1" si="187"/>
        <v>0.22965427167397778</v>
      </c>
      <c r="Q365" s="62">
        <f t="shared" ca="1" si="187"/>
        <v>0.21334056919188149</v>
      </c>
    </row>
    <row r="366" spans="2:17" x14ac:dyDescent="0.2">
      <c r="E366" s="127">
        <v>11</v>
      </c>
      <c r="F366" s="17"/>
      <c r="G366" s="17"/>
      <c r="H366" s="17"/>
      <c r="I366" s="17"/>
      <c r="J366" s="76">
        <f t="shared" ref="J366:Q366" ca="1" si="188">J352^(1/J$356)-1</f>
        <v>0.9914102356258887</v>
      </c>
      <c r="K366" s="76">
        <f t="shared" ca="1" si="188"/>
        <v>0.5395588139483114</v>
      </c>
      <c r="L366" s="76">
        <f t="shared" ca="1" si="188"/>
        <v>0.41340833850179104</v>
      </c>
      <c r="M366" s="76">
        <f t="shared" ca="1" si="188"/>
        <v>0.34438180689996289</v>
      </c>
      <c r="N366" s="76">
        <f t="shared" ca="1" si="188"/>
        <v>0.29862387027253878</v>
      </c>
      <c r="O366" s="76">
        <f t="shared" ca="1" si="188"/>
        <v>0.26490300493365604</v>
      </c>
      <c r="P366" s="76">
        <f t="shared" ca="1" si="188"/>
        <v>0.24065415618048669</v>
      </c>
      <c r="Q366" s="76">
        <f t="shared" ca="1" si="188"/>
        <v>0.22228785656454964</v>
      </c>
    </row>
  </sheetData>
  <pageMargins left="0.7" right="0.7" top="0.75" bottom="0.75" header="0.3" footer="0.3"/>
  <pageSetup orientation="portrait" r:id="rId1"/>
  <ignoredErrors>
    <ignoredError sqref="Q25 Q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2BF6-CCE9-47A9-A76A-ACDE6B42E12E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190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>J59+J55</f>
        <v>76.650000000000006</v>
      </c>
      <c r="K60" s="51">
        <f t="shared" ref="K60:Q60" si="12">K59+K55</f>
        <v>81.248999999999995</v>
      </c>
      <c r="L60" s="51">
        <f t="shared" si="12"/>
        <v>86.936430000000016</v>
      </c>
      <c r="M60" s="51">
        <f t="shared" si="12"/>
        <v>92.152615800000007</v>
      </c>
      <c r="N60" s="51">
        <f t="shared" si="12"/>
        <v>96.760246590000008</v>
      </c>
      <c r="O60" s="51">
        <f t="shared" si="12"/>
        <v>100.63065645360001</v>
      </c>
      <c r="P60" s="51">
        <f t="shared" si="12"/>
        <v>104.655882711744</v>
      </c>
      <c r="Q60" s="51">
        <f t="shared" si="12"/>
        <v>108.84211802021377</v>
      </c>
    </row>
    <row r="61" spans="2:17" x14ac:dyDescent="0.2">
      <c r="B61" s="20"/>
    </row>
    <row r="62" spans="2:17" x14ac:dyDescent="0.2">
      <c r="B62" s="20" t="s">
        <v>96</v>
      </c>
      <c r="J62" s="49">
        <f>-J60*$H$36</f>
        <v>-26.827500000000001</v>
      </c>
      <c r="K62" s="49">
        <f t="shared" ref="K62:Q62" si="13">-K60*$H$36</f>
        <v>-28.437149999999995</v>
      </c>
      <c r="L62" s="49">
        <f t="shared" si="13"/>
        <v>-30.427750500000002</v>
      </c>
      <c r="M62" s="49">
        <f t="shared" si="13"/>
        <v>-32.253415529999998</v>
      </c>
      <c r="N62" s="49">
        <f t="shared" si="13"/>
        <v>-33.866086306500002</v>
      </c>
      <c r="O62" s="49">
        <f t="shared" si="13"/>
        <v>-35.220729758760001</v>
      </c>
      <c r="P62" s="49">
        <f t="shared" si="13"/>
        <v>-36.629558949110397</v>
      </c>
      <c r="Q62" s="49">
        <f t="shared" si="13"/>
        <v>-38.09474130707482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>J62+J60</f>
        <v>49.822500000000005</v>
      </c>
      <c r="K63" s="51">
        <f t="shared" ref="K63:Q63" si="14">K62+K60</f>
        <v>52.81185</v>
      </c>
      <c r="L63" s="51">
        <f t="shared" si="14"/>
        <v>56.508679500000014</v>
      </c>
      <c r="M63" s="51">
        <f t="shared" si="14"/>
        <v>59.899200270000009</v>
      </c>
      <c r="N63" s="51">
        <f t="shared" si="14"/>
        <v>62.894160283500007</v>
      </c>
      <c r="O63" s="51">
        <f t="shared" si="14"/>
        <v>65.40992669484001</v>
      </c>
      <c r="P63" s="51">
        <f t="shared" si="14"/>
        <v>68.026323762633609</v>
      </c>
      <c r="Q63" s="51">
        <f t="shared" si="14"/>
        <v>70.747376713138948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15">IFERROR(J63/J$47,0)</f>
        <v>0.13874269005847953</v>
      </c>
      <c r="K64" s="59">
        <f t="shared" si="15"/>
        <v>0.13874269005847953</v>
      </c>
      <c r="L64" s="59">
        <f t="shared" si="15"/>
        <v>0.13874269005847956</v>
      </c>
      <c r="M64" s="59">
        <f t="shared" si="15"/>
        <v>0.13874269005847953</v>
      </c>
      <c r="N64" s="59">
        <f t="shared" si="15"/>
        <v>0.13874269005847953</v>
      </c>
      <c r="O64" s="59">
        <f t="shared" si="15"/>
        <v>0.13874269005847953</v>
      </c>
      <c r="P64" s="59">
        <f t="shared" si="15"/>
        <v>0.13874269005847953</v>
      </c>
      <c r="Q64" s="59">
        <f t="shared" si="15"/>
        <v>0.13874269005847953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16">IFERROR(J63/I63-1,0)</f>
        <v>0</v>
      </c>
      <c r="K65" s="57">
        <f t="shared" si="16"/>
        <v>5.9999999999999831E-2</v>
      </c>
      <c r="L65" s="57">
        <f t="shared" si="16"/>
        <v>7.0000000000000284E-2</v>
      </c>
      <c r="M65" s="57">
        <f t="shared" si="16"/>
        <v>5.9999999999999831E-2</v>
      </c>
      <c r="N65" s="57">
        <f t="shared" si="16"/>
        <v>5.0000000000000044E-2</v>
      </c>
      <c r="O65" s="57">
        <f t="shared" si="16"/>
        <v>4.0000000000000036E-2</v>
      </c>
      <c r="P65" s="57">
        <f t="shared" si="16"/>
        <v>4.0000000000000036E-2</v>
      </c>
      <c r="Q65" s="57">
        <f t="shared" si="16"/>
        <v>3.9999999999999813E-2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7">O69</f>
        <v>0.04</v>
      </c>
      <c r="Q69" s="61">
        <f t="shared" si="17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8">J70</f>
        <v>0.4</v>
      </c>
      <c r="L70" s="61">
        <f t="shared" si="18"/>
        <v>0.4</v>
      </c>
      <c r="M70" s="61">
        <f t="shared" si="18"/>
        <v>0.4</v>
      </c>
      <c r="N70" s="61">
        <f t="shared" si="18"/>
        <v>0.4</v>
      </c>
      <c r="O70" s="61">
        <f t="shared" si="18"/>
        <v>0.4</v>
      </c>
      <c r="P70" s="61">
        <f t="shared" si="18"/>
        <v>0.4</v>
      </c>
      <c r="Q70" s="61">
        <f t="shared" si="18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8"/>
        <v>0.26315789473684209</v>
      </c>
      <c r="L71" s="62">
        <f t="shared" si="18"/>
        <v>0.26315789473684209</v>
      </c>
      <c r="M71" s="62">
        <f t="shared" si="18"/>
        <v>0.26315789473684209</v>
      </c>
      <c r="N71" s="62">
        <f t="shared" si="18"/>
        <v>0.26315789473684209</v>
      </c>
      <c r="O71" s="62">
        <f t="shared" si="18"/>
        <v>0.26315789473684209</v>
      </c>
      <c r="P71" s="62">
        <f t="shared" si="18"/>
        <v>0.26315789473684209</v>
      </c>
      <c r="Q71" s="62">
        <f t="shared" si="18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8"/>
        <v>4.9707602339181284E-2</v>
      </c>
      <c r="L72" s="62">
        <f t="shared" si="18"/>
        <v>4.9707602339181284E-2</v>
      </c>
      <c r="M72" s="62">
        <f t="shared" si="18"/>
        <v>4.9707602339181284E-2</v>
      </c>
      <c r="N72" s="62">
        <f t="shared" si="18"/>
        <v>4.9707602339181284E-2</v>
      </c>
      <c r="O72" s="62">
        <f t="shared" si="18"/>
        <v>4.9707602339181284E-2</v>
      </c>
      <c r="P72" s="62">
        <f t="shared" si="18"/>
        <v>4.9707602339181284E-2</v>
      </c>
      <c r="Q72" s="62">
        <f t="shared" si="18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8"/>
        <v>4.9707602339181284E-2</v>
      </c>
      <c r="L73" s="76">
        <f t="shared" si="18"/>
        <v>4.9707602339181284E-2</v>
      </c>
      <c r="M73" s="76">
        <f t="shared" si="18"/>
        <v>4.9707602339181284E-2</v>
      </c>
      <c r="N73" s="76">
        <f t="shared" si="18"/>
        <v>4.9707602339181284E-2</v>
      </c>
      <c r="O73" s="76">
        <f t="shared" si="18"/>
        <v>4.9707602339181284E-2</v>
      </c>
      <c r="P73" s="76">
        <f t="shared" si="18"/>
        <v>4.9707602339181284E-2</v>
      </c>
      <c r="Q73" s="76">
        <f t="shared" si="18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>
        <f>I47</f>
        <v>342</v>
      </c>
      <c r="J84" s="82">
        <f t="shared" ref="J84:Q84" si="19">J47</f>
        <v>359.1</v>
      </c>
      <c r="K84" s="82">
        <f t="shared" si="19"/>
        <v>380.64600000000002</v>
      </c>
      <c r="L84" s="82">
        <f t="shared" si="19"/>
        <v>407.29122000000007</v>
      </c>
      <c r="M84" s="82">
        <f t="shared" si="19"/>
        <v>431.72869320000007</v>
      </c>
      <c r="N84" s="82">
        <f t="shared" si="19"/>
        <v>453.31512786000008</v>
      </c>
      <c r="O84" s="82">
        <f t="shared" si="19"/>
        <v>471.44773297440008</v>
      </c>
      <c r="P84" s="82">
        <f t="shared" si="19"/>
        <v>490.30564229337608</v>
      </c>
      <c r="Q84" s="82">
        <f t="shared" si="19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>
        <f>I84*I70</f>
        <v>136.80000000000001</v>
      </c>
      <c r="J85" s="87">
        <f t="shared" ref="J85:Q85" si="20">J84*J70</f>
        <v>143.64000000000001</v>
      </c>
      <c r="K85" s="87">
        <f t="shared" si="20"/>
        <v>152.25840000000002</v>
      </c>
      <c r="L85" s="87">
        <f t="shared" si="20"/>
        <v>162.91648800000004</v>
      </c>
      <c r="M85" s="87">
        <f t="shared" si="20"/>
        <v>172.69147728000004</v>
      </c>
      <c r="N85" s="87">
        <f t="shared" si="20"/>
        <v>181.32605114400005</v>
      </c>
      <c r="O85" s="87">
        <f t="shared" si="20"/>
        <v>188.57909318976004</v>
      </c>
      <c r="P85" s="87">
        <f t="shared" si="20"/>
        <v>196.12225691735046</v>
      </c>
      <c r="Q85" s="87">
        <f t="shared" si="20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I98/I84*F87</f>
        <v>94.73684210526315</v>
      </c>
      <c r="J88" s="92">
        <f>I88</f>
        <v>94.73684210526315</v>
      </c>
      <c r="K88" s="92">
        <f t="shared" ref="K88:Q88" si="21">J88</f>
        <v>94.73684210526315</v>
      </c>
      <c r="L88" s="92">
        <f t="shared" si="21"/>
        <v>94.73684210526315</v>
      </c>
      <c r="M88" s="92">
        <f t="shared" si="21"/>
        <v>94.73684210526315</v>
      </c>
      <c r="N88" s="92">
        <f t="shared" si="21"/>
        <v>94.73684210526315</v>
      </c>
      <c r="O88" s="92">
        <f t="shared" si="21"/>
        <v>94.73684210526315</v>
      </c>
      <c r="P88" s="92">
        <f t="shared" si="21"/>
        <v>94.73684210526315</v>
      </c>
      <c r="Q88" s="92">
        <f t="shared" si="21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I99/I85*F87</f>
        <v>118.42105263157893</v>
      </c>
      <c r="J89" s="93">
        <f t="shared" ref="J89:Q90" si="22">I89</f>
        <v>118.42105263157893</v>
      </c>
      <c r="K89" s="93">
        <f t="shared" si="22"/>
        <v>118.42105263157893</v>
      </c>
      <c r="L89" s="93">
        <f t="shared" si="22"/>
        <v>118.42105263157893</v>
      </c>
      <c r="M89" s="93">
        <f t="shared" si="22"/>
        <v>118.42105263157893</v>
      </c>
      <c r="N89" s="93">
        <f t="shared" si="22"/>
        <v>118.42105263157893</v>
      </c>
      <c r="O89" s="93">
        <f t="shared" si="22"/>
        <v>118.42105263157893</v>
      </c>
      <c r="P89" s="93">
        <f t="shared" si="22"/>
        <v>118.42105263157893</v>
      </c>
      <c r="Q89" s="93">
        <f t="shared" si="22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I103/I85*F87</f>
        <v>115.78947368421052</v>
      </c>
      <c r="J90" s="94">
        <f t="shared" si="22"/>
        <v>115.78947368421052</v>
      </c>
      <c r="K90" s="94">
        <f t="shared" si="22"/>
        <v>115.78947368421052</v>
      </c>
      <c r="L90" s="94">
        <f t="shared" si="22"/>
        <v>115.78947368421052</v>
      </c>
      <c r="M90" s="94">
        <f t="shared" si="22"/>
        <v>115.78947368421052</v>
      </c>
      <c r="N90" s="94">
        <f t="shared" si="22"/>
        <v>115.78947368421052</v>
      </c>
      <c r="O90" s="94">
        <f t="shared" si="22"/>
        <v>115.78947368421052</v>
      </c>
      <c r="P90" s="94">
        <f t="shared" si="22"/>
        <v>115.78947368421052</v>
      </c>
      <c r="Q90" s="94">
        <f t="shared" si="22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 t="shared" ref="J91:Q91" si="23">J88+J89-J90</f>
        <v>97.368421052631561</v>
      </c>
      <c r="K91" s="95">
        <f t="shared" si="23"/>
        <v>97.368421052631561</v>
      </c>
      <c r="L91" s="95">
        <f t="shared" si="23"/>
        <v>97.368421052631561</v>
      </c>
      <c r="M91" s="95">
        <f t="shared" si="23"/>
        <v>97.368421052631561</v>
      </c>
      <c r="N91" s="95">
        <f t="shared" si="23"/>
        <v>97.368421052631561</v>
      </c>
      <c r="O91" s="95">
        <f t="shared" si="23"/>
        <v>97.368421052631561</v>
      </c>
      <c r="P91" s="95">
        <f t="shared" si="23"/>
        <v>97.368421052631561</v>
      </c>
      <c r="Q91" s="95">
        <f t="shared" si="23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24">J93</f>
        <v>2.046783625730994E-2</v>
      </c>
      <c r="L93" s="61">
        <f t="shared" si="24"/>
        <v>2.046783625730994E-2</v>
      </c>
      <c r="M93" s="61">
        <f t="shared" si="24"/>
        <v>2.046783625730994E-2</v>
      </c>
      <c r="N93" s="61">
        <f t="shared" si="24"/>
        <v>2.046783625730994E-2</v>
      </c>
      <c r="O93" s="61">
        <f t="shared" si="24"/>
        <v>2.046783625730994E-2</v>
      </c>
      <c r="P93" s="61">
        <f t="shared" si="24"/>
        <v>2.046783625730994E-2</v>
      </c>
      <c r="Q93" s="61">
        <f t="shared" si="24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 t="shared" ref="J94:Q95" si="25">I94</f>
        <v>0.10818713450292397</v>
      </c>
      <c r="K94" s="62">
        <f t="shared" si="25"/>
        <v>0.10818713450292397</v>
      </c>
      <c r="L94" s="62">
        <f t="shared" si="25"/>
        <v>0.10818713450292397</v>
      </c>
      <c r="M94" s="62">
        <f t="shared" si="25"/>
        <v>0.10818713450292397</v>
      </c>
      <c r="N94" s="62">
        <f t="shared" si="25"/>
        <v>0.10818713450292397</v>
      </c>
      <c r="O94" s="62">
        <f t="shared" si="25"/>
        <v>0.10818713450292397</v>
      </c>
      <c r="P94" s="62">
        <f t="shared" si="25"/>
        <v>0.10818713450292397</v>
      </c>
      <c r="Q94" s="62">
        <f t="shared" si="25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si="25"/>
        <v>8.771929824561403E-3</v>
      </c>
      <c r="K95" s="76">
        <f t="shared" si="25"/>
        <v>8.771929824561403E-3</v>
      </c>
      <c r="L95" s="76">
        <f t="shared" si="25"/>
        <v>8.771929824561403E-3</v>
      </c>
      <c r="M95" s="76">
        <f t="shared" si="25"/>
        <v>8.771929824561403E-3</v>
      </c>
      <c r="N95" s="76">
        <f t="shared" si="25"/>
        <v>8.771929824561403E-3</v>
      </c>
      <c r="O95" s="76">
        <f t="shared" si="25"/>
        <v>8.771929824561403E-3</v>
      </c>
      <c r="P95" s="76">
        <f t="shared" si="25"/>
        <v>8.771929824561403E-3</v>
      </c>
      <c r="Q95" s="76">
        <f t="shared" si="25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9" si="26">K88/$F$87*K84</f>
        <v>100.17</v>
      </c>
      <c r="L98" s="82">
        <f t="shared" si="26"/>
        <v>107.18190000000001</v>
      </c>
      <c r="M98" s="82">
        <f t="shared" si="26"/>
        <v>113.61281400000001</v>
      </c>
      <c r="N98" s="82">
        <f t="shared" si="26"/>
        <v>119.29345470000001</v>
      </c>
      <c r="O98" s="82">
        <f t="shared" si="26"/>
        <v>124.06519288800001</v>
      </c>
      <c r="P98" s="82">
        <f t="shared" si="26"/>
        <v>129.02780060352001</v>
      </c>
      <c r="Q98" s="82">
        <f t="shared" si="26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 t="shared" ref="I99:I100" si="27">H121</f>
        <v>45</v>
      </c>
      <c r="J99" s="72">
        <f>J89/$F$87*J85</f>
        <v>47.25</v>
      </c>
      <c r="K99" s="72">
        <f t="shared" si="26"/>
        <v>50.085000000000001</v>
      </c>
      <c r="L99" s="72">
        <f t="shared" si="26"/>
        <v>53.590950000000007</v>
      </c>
      <c r="M99" s="72">
        <f t="shared" si="26"/>
        <v>56.806407000000007</v>
      </c>
      <c r="N99" s="72">
        <f t="shared" si="26"/>
        <v>59.646727350000006</v>
      </c>
      <c r="O99" s="72">
        <f t="shared" si="26"/>
        <v>62.032596444000006</v>
      </c>
      <c r="P99" s="72">
        <f t="shared" si="26"/>
        <v>64.513900301760017</v>
      </c>
      <c r="Q99" s="72">
        <f t="shared" si="26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 t="shared" si="27"/>
        <v>7</v>
      </c>
      <c r="J100" s="73">
        <f>J93*J84</f>
        <v>7.35</v>
      </c>
      <c r="K100" s="73">
        <f t="shared" ref="K100:Q100" si="28">K93*K84</f>
        <v>7.7909999999999995</v>
      </c>
      <c r="L100" s="73">
        <f t="shared" si="28"/>
        <v>8.3363700000000005</v>
      </c>
      <c r="M100" s="73">
        <f t="shared" si="28"/>
        <v>8.8365522000000016</v>
      </c>
      <c r="N100" s="73">
        <f t="shared" si="28"/>
        <v>9.2783798100000006</v>
      </c>
      <c r="O100" s="73">
        <f t="shared" si="28"/>
        <v>9.6495150024000012</v>
      </c>
      <c r="P100" s="73">
        <f t="shared" si="28"/>
        <v>10.035495602496001</v>
      </c>
      <c r="Q100" s="73">
        <f t="shared" si="28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29">SUM(K98:K100)</f>
        <v>158.04599999999999</v>
      </c>
      <c r="L101" s="51">
        <f t="shared" si="29"/>
        <v>169.10921999999999</v>
      </c>
      <c r="M101" s="51">
        <f t="shared" si="29"/>
        <v>179.25577320000002</v>
      </c>
      <c r="N101" s="51">
        <f t="shared" si="29"/>
        <v>188.21856186000002</v>
      </c>
      <c r="O101" s="51">
        <f t="shared" si="29"/>
        <v>195.74730433440001</v>
      </c>
      <c r="P101" s="51">
        <f t="shared" si="29"/>
        <v>203.57719650777605</v>
      </c>
      <c r="Q101" s="51">
        <f t="shared" si="29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30">K90/$F$87*K85</f>
        <v>48.972000000000001</v>
      </c>
      <c r="L103" s="82">
        <f t="shared" si="30"/>
        <v>52.400040000000011</v>
      </c>
      <c r="M103" s="82">
        <f t="shared" si="30"/>
        <v>55.544042400000009</v>
      </c>
      <c r="N103" s="82">
        <f t="shared" si="30"/>
        <v>58.321244520000015</v>
      </c>
      <c r="O103" s="82">
        <f t="shared" si="30"/>
        <v>60.654094300800011</v>
      </c>
      <c r="P103" s="82">
        <f t="shared" si="30"/>
        <v>63.080258072832017</v>
      </c>
      <c r="Q103" s="82">
        <f t="shared" si="30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31">H131</f>
        <v>37</v>
      </c>
      <c r="J104" s="72">
        <f>J94*J$84</f>
        <v>38.85</v>
      </c>
      <c r="K104" s="72">
        <f t="shared" ref="K104:Q104" si="32">K94*K$84</f>
        <v>41.180999999999997</v>
      </c>
      <c r="L104" s="72">
        <f t="shared" si="32"/>
        <v>44.063670000000002</v>
      </c>
      <c r="M104" s="72">
        <f t="shared" si="32"/>
        <v>46.707490200000002</v>
      </c>
      <c r="N104" s="72">
        <f t="shared" si="32"/>
        <v>49.042864710000003</v>
      </c>
      <c r="O104" s="72">
        <f t="shared" si="32"/>
        <v>51.004579298400003</v>
      </c>
      <c r="P104" s="72">
        <f t="shared" si="32"/>
        <v>53.044762470336003</v>
      </c>
      <c r="Q104" s="72">
        <f t="shared" si="32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31"/>
        <v>3</v>
      </c>
      <c r="J105" s="73">
        <f t="shared" ref="J105:Q105" si="33">J95*J$84</f>
        <v>3.15</v>
      </c>
      <c r="K105" s="73">
        <f t="shared" si="33"/>
        <v>3.339</v>
      </c>
      <c r="L105" s="73">
        <f t="shared" si="33"/>
        <v>3.5727300000000004</v>
      </c>
      <c r="M105" s="73">
        <f t="shared" si="33"/>
        <v>3.7870938000000005</v>
      </c>
      <c r="N105" s="73">
        <f t="shared" si="33"/>
        <v>3.9764484900000006</v>
      </c>
      <c r="O105" s="73">
        <f t="shared" si="33"/>
        <v>4.1355064296000004</v>
      </c>
      <c r="P105" s="73">
        <f t="shared" si="33"/>
        <v>4.3009266867840008</v>
      </c>
      <c r="Q105" s="73">
        <f t="shared" si="33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34">SUM(K103:K105)</f>
        <v>93.49199999999999</v>
      </c>
      <c r="L106" s="51">
        <f t="shared" si="34"/>
        <v>100.03644000000003</v>
      </c>
      <c r="M106" s="51">
        <f t="shared" si="34"/>
        <v>106.03862640000001</v>
      </c>
      <c r="N106" s="51">
        <f t="shared" si="34"/>
        <v>111.34055772000002</v>
      </c>
      <c r="O106" s="51">
        <f t="shared" si="34"/>
        <v>115.79418002880001</v>
      </c>
      <c r="P106" s="51">
        <f t="shared" si="34"/>
        <v>120.42594722995202</v>
      </c>
      <c r="Q106" s="51">
        <f t="shared" si="34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 t="shared" ref="J108:Q108" si="35">J101-J106</f>
        <v>60.899999999999977</v>
      </c>
      <c r="K108" s="51">
        <f t="shared" si="35"/>
        <v>64.554000000000002</v>
      </c>
      <c r="L108" s="51">
        <f t="shared" si="35"/>
        <v>69.072779999999966</v>
      </c>
      <c r="M108" s="51">
        <f t="shared" si="35"/>
        <v>73.217146800000009</v>
      </c>
      <c r="N108" s="51">
        <f t="shared" si="35"/>
        <v>76.878004140000002</v>
      </c>
      <c r="O108" s="51">
        <f t="shared" si="35"/>
        <v>79.953124305599999</v>
      </c>
      <c r="P108" s="51">
        <f t="shared" si="35"/>
        <v>83.151249277824036</v>
      </c>
      <c r="Q108" s="51">
        <f t="shared" si="35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36">J108-K108</f>
        <v>-3.6540000000000248</v>
      </c>
      <c r="L109" s="49">
        <f t="shared" si="36"/>
        <v>-4.518779999999964</v>
      </c>
      <c r="M109" s="49">
        <f t="shared" si="36"/>
        <v>-4.1443668000000429</v>
      </c>
      <c r="N109" s="49">
        <f t="shared" si="36"/>
        <v>-3.6608573399999926</v>
      </c>
      <c r="O109" s="49">
        <f t="shared" si="36"/>
        <v>-3.0751201655999978</v>
      </c>
      <c r="P109" s="49">
        <f t="shared" si="36"/>
        <v>-3.1981249722240364</v>
      </c>
      <c r="Q109" s="49">
        <f t="shared" si="36"/>
        <v>-3.326049971112937</v>
      </c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 t="shared" ref="I121:I122" si="37">H121</f>
        <v>45</v>
      </c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2">
        <f t="shared" si="37"/>
        <v>7</v>
      </c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38">H131</f>
        <v>37</v>
      </c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38"/>
        <v>3</v>
      </c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>
        <f>SUM(G15:G16)-G24</f>
        <v>220.9375</v>
      </c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39">ROUND(J140,3) = ROUND(J127,3)</f>
        <v>1</v>
      </c>
      <c r="K141" s="91" t="b">
        <f t="shared" si="39"/>
        <v>1</v>
      </c>
      <c r="L141" s="91" t="b">
        <f t="shared" si="39"/>
        <v>1</v>
      </c>
      <c r="M141" s="91" t="b">
        <f t="shared" si="39"/>
        <v>1</v>
      </c>
      <c r="N141" s="91" t="b">
        <f t="shared" si="39"/>
        <v>1</v>
      </c>
      <c r="O141" s="91" t="b">
        <f t="shared" si="39"/>
        <v>1</v>
      </c>
      <c r="P141" s="91" t="b">
        <f t="shared" si="39"/>
        <v>1</v>
      </c>
      <c r="Q141" s="91" t="b">
        <f t="shared" si="39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>J63</f>
        <v>49.822500000000005</v>
      </c>
      <c r="K150" s="82">
        <f t="shared" ref="K150:Q150" si="40">K63</f>
        <v>52.81185</v>
      </c>
      <c r="L150" s="82">
        <f t="shared" si="40"/>
        <v>56.508679500000014</v>
      </c>
      <c r="M150" s="82">
        <f t="shared" si="40"/>
        <v>59.899200270000009</v>
      </c>
      <c r="N150" s="82">
        <f t="shared" si="40"/>
        <v>62.894160283500007</v>
      </c>
      <c r="O150" s="82">
        <f t="shared" si="40"/>
        <v>65.40992669484001</v>
      </c>
      <c r="P150" s="82">
        <f t="shared" si="40"/>
        <v>68.026323762633609</v>
      </c>
      <c r="Q150" s="82">
        <f t="shared" si="40"/>
        <v>70.747376713138948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41">-K54</f>
        <v>18.920999999999999</v>
      </c>
      <c r="L151" s="72">
        <f t="shared" si="41"/>
        <v>20.245470000000001</v>
      </c>
      <c r="M151" s="72">
        <f t="shared" si="41"/>
        <v>21.460198200000001</v>
      </c>
      <c r="N151" s="72">
        <f t="shared" si="41"/>
        <v>22.533208110000004</v>
      </c>
      <c r="O151" s="72">
        <f t="shared" si="41"/>
        <v>23.434536434400002</v>
      </c>
      <c r="P151" s="72">
        <f t="shared" si="41"/>
        <v>24.371917891776004</v>
      </c>
      <c r="Q151" s="72">
        <f t="shared" si="41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42">K109</f>
        <v>-3.6540000000000248</v>
      </c>
      <c r="L153" s="73">
        <f t="shared" si="42"/>
        <v>-4.518779999999964</v>
      </c>
      <c r="M153" s="73">
        <f t="shared" si="42"/>
        <v>-4.1443668000000429</v>
      </c>
      <c r="N153" s="73">
        <f t="shared" si="42"/>
        <v>-3.6608573399999926</v>
      </c>
      <c r="O153" s="73">
        <f t="shared" si="42"/>
        <v>-3.0751201655999978</v>
      </c>
      <c r="P153" s="73">
        <f t="shared" si="42"/>
        <v>-3.1981249722240364</v>
      </c>
      <c r="Q153" s="73">
        <f t="shared" si="42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>SUM(J150:J153)</f>
        <v>64.772500000000036</v>
      </c>
      <c r="K154" s="51">
        <f t="shared" ref="K154:Q154" si="43">SUM(K150:K153)</f>
        <v>68.078849999999974</v>
      </c>
      <c r="L154" s="51">
        <f t="shared" si="43"/>
        <v>72.235369500000047</v>
      </c>
      <c r="M154" s="51">
        <f t="shared" si="43"/>
        <v>77.215031669999959</v>
      </c>
      <c r="N154" s="51">
        <f t="shared" si="43"/>
        <v>81.766511053500025</v>
      </c>
      <c r="O154" s="51">
        <f t="shared" si="43"/>
        <v>85.769342963640014</v>
      </c>
      <c r="P154" s="51">
        <f t="shared" si="43"/>
        <v>89.20011668218558</v>
      </c>
      <c r="Q154" s="51">
        <f t="shared" si="43"/>
        <v>92.768121349473049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44">-K73*K47</f>
        <v>-18.920999999999999</v>
      </c>
      <c r="L155" s="50">
        <f t="shared" si="44"/>
        <v>-20.245470000000001</v>
      </c>
      <c r="M155" s="50">
        <f t="shared" si="44"/>
        <v>-21.460198200000001</v>
      </c>
      <c r="N155" s="50">
        <f t="shared" si="44"/>
        <v>-22.533208110000004</v>
      </c>
      <c r="O155" s="50">
        <f t="shared" si="44"/>
        <v>-23.434536434400002</v>
      </c>
      <c r="P155" s="50">
        <f t="shared" si="44"/>
        <v>-24.371917891776004</v>
      </c>
      <c r="Q155" s="50">
        <f t="shared" si="44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>SUM(J154:J155)</f>
        <v>46.922500000000035</v>
      </c>
      <c r="K156" s="51">
        <f t="shared" ref="K156:Q156" si="45">SUM(K154:K155)</f>
        <v>49.157849999999975</v>
      </c>
      <c r="L156" s="51">
        <f t="shared" si="45"/>
        <v>51.98989950000005</v>
      </c>
      <c r="M156" s="51">
        <f t="shared" si="45"/>
        <v>55.754833469999959</v>
      </c>
      <c r="N156" s="51">
        <f t="shared" si="45"/>
        <v>59.233302943500021</v>
      </c>
      <c r="O156" s="51">
        <f t="shared" si="45"/>
        <v>62.334806529240012</v>
      </c>
      <c r="P156" s="51">
        <f t="shared" si="45"/>
        <v>64.828198790409573</v>
      </c>
      <c r="Q156" s="51">
        <f t="shared" si="45"/>
        <v>67.421326742026011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si="46">J167</f>
        <v>5</v>
      </c>
      <c r="L158" s="82">
        <f t="shared" si="46"/>
        <v>5</v>
      </c>
      <c r="M158" s="82">
        <f t="shared" si="46"/>
        <v>5</v>
      </c>
      <c r="N158" s="82">
        <f t="shared" si="46"/>
        <v>5</v>
      </c>
      <c r="O158" s="82">
        <f t="shared" si="46"/>
        <v>5</v>
      </c>
      <c r="P158" s="82">
        <f t="shared" si="46"/>
        <v>5</v>
      </c>
      <c r="Q158" s="82">
        <f t="shared" si="46"/>
        <v>5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>J156</f>
        <v>46.922500000000035</v>
      </c>
      <c r="K159" s="72">
        <f t="shared" ref="K159:Q159" si="47">K156</f>
        <v>49.157849999999975</v>
      </c>
      <c r="L159" s="72">
        <f t="shared" si="47"/>
        <v>51.98989950000005</v>
      </c>
      <c r="M159" s="72">
        <f t="shared" si="47"/>
        <v>55.754833469999959</v>
      </c>
      <c r="N159" s="72">
        <f t="shared" si="47"/>
        <v>59.233302943500021</v>
      </c>
      <c r="O159" s="72">
        <f t="shared" si="47"/>
        <v>62.334806529240012</v>
      </c>
      <c r="P159" s="72">
        <f t="shared" si="47"/>
        <v>64.828198790409573</v>
      </c>
      <c r="Q159" s="72">
        <f t="shared" si="47"/>
        <v>67.421326742026011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48">-$H$32</f>
        <v>-5</v>
      </c>
      <c r="L160" s="73">
        <f t="shared" si="48"/>
        <v>-5</v>
      </c>
      <c r="M160" s="73">
        <f t="shared" si="48"/>
        <v>-5</v>
      </c>
      <c r="N160" s="73">
        <f t="shared" si="48"/>
        <v>-5</v>
      </c>
      <c r="O160" s="73">
        <f t="shared" si="48"/>
        <v>-5</v>
      </c>
      <c r="P160" s="73">
        <f t="shared" si="48"/>
        <v>-5</v>
      </c>
      <c r="Q160" s="73">
        <f t="shared" si="48"/>
        <v>-5</v>
      </c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>SUM(J158:J160)</f>
        <v>46.922500000000035</v>
      </c>
      <c r="K161" s="51">
        <f t="shared" ref="K161:Q161" si="49">SUM(K158:K160)</f>
        <v>49.157849999999975</v>
      </c>
      <c r="L161" s="51">
        <f t="shared" si="49"/>
        <v>51.98989950000005</v>
      </c>
      <c r="M161" s="51">
        <f t="shared" si="49"/>
        <v>55.754833469999959</v>
      </c>
      <c r="N161" s="51">
        <f t="shared" si="49"/>
        <v>59.233302943500021</v>
      </c>
      <c r="O161" s="51">
        <f t="shared" si="49"/>
        <v>62.334806529240012</v>
      </c>
      <c r="P161" s="51">
        <f t="shared" si="49"/>
        <v>64.828198790409573</v>
      </c>
      <c r="Q161" s="51">
        <f t="shared" si="49"/>
        <v>67.421326742026011</v>
      </c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>
        <f>J204</f>
        <v>-2.75</v>
      </c>
      <c r="K163" s="82">
        <f t="shared" ref="K163:Q163" si="50">K204</f>
        <v>-2.75</v>
      </c>
      <c r="L163" s="82">
        <f t="shared" si="50"/>
        <v>-2.75</v>
      </c>
      <c r="M163" s="82">
        <f t="shared" si="50"/>
        <v>-2.75</v>
      </c>
      <c r="N163" s="82">
        <f t="shared" si="50"/>
        <v>-2.75</v>
      </c>
      <c r="O163" s="82">
        <f t="shared" si="50"/>
        <v>-2.75</v>
      </c>
      <c r="P163" s="82">
        <f t="shared" si="50"/>
        <v>0</v>
      </c>
      <c r="Q163" s="82">
        <f t="shared" si="50"/>
        <v>0</v>
      </c>
    </row>
    <row r="164" spans="1:24" x14ac:dyDescent="0.2">
      <c r="B164" s="20" t="s">
        <v>136</v>
      </c>
      <c r="J164" s="50">
        <f>J213</f>
        <v>-44.172500000000035</v>
      </c>
      <c r="K164" s="50">
        <f t="shared" ref="K164:Q164" si="51">K213</f>
        <v>-46.407849999999975</v>
      </c>
      <c r="L164" s="50">
        <f t="shared" si="51"/>
        <v>-49.23989950000005</v>
      </c>
      <c r="M164" s="50">
        <f t="shared" si="51"/>
        <v>-53.004833469999959</v>
      </c>
      <c r="N164" s="50">
        <f t="shared" si="51"/>
        <v>-56.483302943500021</v>
      </c>
      <c r="O164" s="50">
        <f t="shared" si="51"/>
        <v>-59.584806529240012</v>
      </c>
      <c r="P164" s="50">
        <f t="shared" si="51"/>
        <v>-64.828198790409573</v>
      </c>
      <c r="Q164" s="50">
        <f t="shared" si="51"/>
        <v>-67.421326742026011</v>
      </c>
    </row>
    <row r="165" spans="1:24" x14ac:dyDescent="0.2">
      <c r="B165" s="20"/>
    </row>
    <row r="166" spans="1:24" x14ac:dyDescent="0.2">
      <c r="B166" s="20" t="s">
        <v>143</v>
      </c>
      <c r="J166" s="49">
        <f>-J160</f>
        <v>5</v>
      </c>
      <c r="K166" s="49">
        <f t="shared" ref="K166:Q166" si="52">-K160</f>
        <v>5</v>
      </c>
      <c r="L166" s="49">
        <f t="shared" si="52"/>
        <v>5</v>
      </c>
      <c r="M166" s="49">
        <f t="shared" si="52"/>
        <v>5</v>
      </c>
      <c r="N166" s="49">
        <f t="shared" si="52"/>
        <v>5</v>
      </c>
      <c r="O166" s="49">
        <f t="shared" si="52"/>
        <v>5</v>
      </c>
      <c r="P166" s="49">
        <f t="shared" si="52"/>
        <v>5</v>
      </c>
      <c r="Q166" s="49">
        <f t="shared" si="52"/>
        <v>5</v>
      </c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>SUM(J166,J163:J164,J161)</f>
        <v>5</v>
      </c>
      <c r="K167" s="51">
        <f t="shared" ref="K167:Q167" si="53">SUM(K166,K163:K164,K161)</f>
        <v>5</v>
      </c>
      <c r="L167" s="51">
        <f t="shared" si="53"/>
        <v>5</v>
      </c>
      <c r="M167" s="51">
        <f t="shared" si="53"/>
        <v>5</v>
      </c>
      <c r="N167" s="51">
        <f t="shared" si="53"/>
        <v>5</v>
      </c>
      <c r="O167" s="51">
        <f t="shared" si="53"/>
        <v>5</v>
      </c>
      <c r="P167" s="51">
        <f t="shared" si="53"/>
        <v>5</v>
      </c>
      <c r="Q167" s="51">
        <f t="shared" si="53"/>
        <v>5</v>
      </c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>IF($H$38=1,AVERAGE(J158,J167),J158)</f>
        <v>5</v>
      </c>
      <c r="K170" s="82">
        <f t="shared" ref="K170:Q170" si="54">IF($H$38=1,AVERAGE(K158,K167),K158)</f>
        <v>5</v>
      </c>
      <c r="L170" s="82">
        <f t="shared" si="54"/>
        <v>5</v>
      </c>
      <c r="M170" s="82">
        <f t="shared" si="54"/>
        <v>5</v>
      </c>
      <c r="N170" s="82">
        <f t="shared" si="54"/>
        <v>5</v>
      </c>
      <c r="O170" s="82">
        <f t="shared" si="54"/>
        <v>5</v>
      </c>
      <c r="P170" s="82">
        <f t="shared" si="54"/>
        <v>5</v>
      </c>
      <c r="Q170" s="82">
        <f t="shared" si="54"/>
        <v>5</v>
      </c>
    </row>
    <row r="171" spans="1:24" x14ac:dyDescent="0.2">
      <c r="B171" s="20" t="s">
        <v>145</v>
      </c>
      <c r="G171" s="99">
        <f>H35</f>
        <v>2.5000000000000001E-3</v>
      </c>
      <c r="J171" s="50">
        <f>$G171*J170</f>
        <v>1.2500000000000001E-2</v>
      </c>
      <c r="K171" s="50">
        <f t="shared" ref="K171:Q171" si="55">$G171*K170</f>
        <v>1.2500000000000001E-2</v>
      </c>
      <c r="L171" s="50">
        <f t="shared" si="55"/>
        <v>1.2500000000000001E-2</v>
      </c>
      <c r="M171" s="50">
        <f t="shared" si="55"/>
        <v>1.2500000000000001E-2</v>
      </c>
      <c r="N171" s="50">
        <f t="shared" si="55"/>
        <v>1.2500000000000001E-2</v>
      </c>
      <c r="O171" s="50">
        <f t="shared" si="55"/>
        <v>1.2500000000000001E-2</v>
      </c>
      <c r="P171" s="50">
        <f t="shared" si="55"/>
        <v>1.2500000000000001E-2</v>
      </c>
      <c r="Q171" s="50">
        <f t="shared" si="55"/>
        <v>1.2500000000000001E-2</v>
      </c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56">J$116</f>
        <v>43100</v>
      </c>
      <c r="K177" s="54">
        <f t="shared" si="56"/>
        <v>43465</v>
      </c>
      <c r="L177" s="54">
        <f t="shared" si="56"/>
        <v>43830</v>
      </c>
      <c r="M177" s="54">
        <f t="shared" si="56"/>
        <v>44196</v>
      </c>
      <c r="N177" s="54">
        <f t="shared" si="56"/>
        <v>44561</v>
      </c>
      <c r="O177" s="54">
        <f t="shared" si="56"/>
        <v>44926</v>
      </c>
      <c r="P177" s="54">
        <f t="shared" si="56"/>
        <v>45291</v>
      </c>
      <c r="Q177" s="54">
        <f t="shared" si="56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>
        <f>G11</f>
        <v>0</v>
      </c>
      <c r="J181" s="82">
        <f>MAX(0,I181+J200+J209)</f>
        <v>0</v>
      </c>
      <c r="K181" s="82">
        <f t="shared" ref="K181:Q181" si="57">MAX(0,J181+K200+K209)</f>
        <v>0</v>
      </c>
      <c r="L181" s="82">
        <f t="shared" si="57"/>
        <v>0</v>
      </c>
      <c r="M181" s="82">
        <f t="shared" si="57"/>
        <v>0</v>
      </c>
      <c r="N181" s="82">
        <f t="shared" si="57"/>
        <v>0</v>
      </c>
      <c r="O181" s="82">
        <f t="shared" si="57"/>
        <v>0</v>
      </c>
      <c r="P181" s="82">
        <f t="shared" si="57"/>
        <v>0</v>
      </c>
      <c r="Q181" s="82">
        <f t="shared" si="57"/>
        <v>0</v>
      </c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>
        <f t="shared" ref="I182:I184" si="58">G12</f>
        <v>275</v>
      </c>
      <c r="J182" s="72">
        <f t="shared" ref="J182:Q182" si="59">MAX(0,I182+J201+J210)</f>
        <v>228.07749999999996</v>
      </c>
      <c r="K182" s="72">
        <f t="shared" si="59"/>
        <v>178.91964999999999</v>
      </c>
      <c r="L182" s="72">
        <f t="shared" si="59"/>
        <v>126.92975049999994</v>
      </c>
      <c r="M182" s="72">
        <f t="shared" si="59"/>
        <v>71.174917029999989</v>
      </c>
      <c r="N182" s="72">
        <f t="shared" si="59"/>
        <v>11.941614086499968</v>
      </c>
      <c r="O182" s="72">
        <f t="shared" si="59"/>
        <v>0</v>
      </c>
      <c r="P182" s="72">
        <f t="shared" si="59"/>
        <v>0</v>
      </c>
      <c r="Q182" s="72">
        <f t="shared" si="59"/>
        <v>0</v>
      </c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>
        <f t="shared" si="58"/>
        <v>225</v>
      </c>
      <c r="J183" s="72">
        <f t="shared" ref="J183:Q183" si="60">MAX(0,I183+J202+J211)</f>
        <v>225</v>
      </c>
      <c r="K183" s="72">
        <f t="shared" si="60"/>
        <v>225</v>
      </c>
      <c r="L183" s="72">
        <f t="shared" si="60"/>
        <v>225</v>
      </c>
      <c r="M183" s="72">
        <f t="shared" si="60"/>
        <v>225</v>
      </c>
      <c r="N183" s="72">
        <f t="shared" si="60"/>
        <v>225</v>
      </c>
      <c r="O183" s="72">
        <f t="shared" si="60"/>
        <v>174.60680755725997</v>
      </c>
      <c r="P183" s="72">
        <f t="shared" si="60"/>
        <v>109.7786087668504</v>
      </c>
      <c r="Q183" s="72">
        <f t="shared" si="60"/>
        <v>42.357282024824386</v>
      </c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>
        <f t="shared" si="58"/>
        <v>100</v>
      </c>
      <c r="J184" s="73">
        <f t="shared" ref="J184:Q184" si="61">MAX(0,I184+J203+J212)</f>
        <v>100</v>
      </c>
      <c r="K184" s="73">
        <f t="shared" si="61"/>
        <v>100</v>
      </c>
      <c r="L184" s="73">
        <f t="shared" si="61"/>
        <v>100</v>
      </c>
      <c r="M184" s="73">
        <f t="shared" si="61"/>
        <v>100</v>
      </c>
      <c r="N184" s="73">
        <f t="shared" si="61"/>
        <v>100</v>
      </c>
      <c r="O184" s="73">
        <f t="shared" si="61"/>
        <v>100</v>
      </c>
      <c r="P184" s="73">
        <f t="shared" si="61"/>
        <v>100</v>
      </c>
      <c r="Q184" s="73">
        <f t="shared" si="61"/>
        <v>100</v>
      </c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>
        <f>SUM(I181:I184)</f>
        <v>600</v>
      </c>
      <c r="J185" s="51">
        <f t="shared" ref="J185:Q185" si="62">SUM(J181:J184)</f>
        <v>553.07749999999999</v>
      </c>
      <c r="K185" s="51">
        <f t="shared" si="62"/>
        <v>503.91964999999999</v>
      </c>
      <c r="L185" s="51">
        <f t="shared" si="62"/>
        <v>451.92975049999995</v>
      </c>
      <c r="M185" s="51">
        <f t="shared" si="62"/>
        <v>396.17491702999996</v>
      </c>
      <c r="N185" s="51">
        <f t="shared" si="62"/>
        <v>336.94161408649995</v>
      </c>
      <c r="O185" s="51">
        <f t="shared" si="62"/>
        <v>274.60680755725997</v>
      </c>
      <c r="P185" s="51">
        <f t="shared" si="62"/>
        <v>209.7786087668504</v>
      </c>
      <c r="Q185" s="51">
        <f t="shared" si="62"/>
        <v>142.35728202482437</v>
      </c>
    </row>
    <row r="186" spans="2:17" x14ac:dyDescent="0.2">
      <c r="C186" s="8" t="s">
        <v>168</v>
      </c>
      <c r="J186" s="57">
        <f>IFERROR(J185/$I185,0)</f>
        <v>0.92179583333333326</v>
      </c>
      <c r="K186" s="57">
        <f t="shared" ref="K186:Q186" si="63">IFERROR(K185/$I185,0)</f>
        <v>0.83986608333333335</v>
      </c>
      <c r="L186" s="57">
        <f t="shared" si="63"/>
        <v>0.75321625083333321</v>
      </c>
      <c r="M186" s="57">
        <f t="shared" si="63"/>
        <v>0.66029152838333327</v>
      </c>
      <c r="N186" s="57">
        <f t="shared" si="63"/>
        <v>0.56156935681083331</v>
      </c>
      <c r="O186" s="57">
        <f t="shared" si="63"/>
        <v>0.45767801259543328</v>
      </c>
      <c r="P186" s="57">
        <f t="shared" si="63"/>
        <v>0.34963101461141732</v>
      </c>
      <c r="Q186" s="57">
        <f t="shared" si="63"/>
        <v>0.23726213670804061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>
        <f>MAX(0,$G189-I181)</f>
        <v>100</v>
      </c>
      <c r="J189" s="101">
        <f t="shared" ref="J189:Q189" si="64">MAX(0,$G189-J181)</f>
        <v>100</v>
      </c>
      <c r="K189" s="101">
        <f t="shared" si="64"/>
        <v>100</v>
      </c>
      <c r="L189" s="101">
        <f t="shared" si="64"/>
        <v>100</v>
      </c>
      <c r="M189" s="101">
        <f t="shared" si="64"/>
        <v>100</v>
      </c>
      <c r="N189" s="101">
        <f t="shared" si="64"/>
        <v>100</v>
      </c>
      <c r="O189" s="101">
        <f t="shared" si="64"/>
        <v>100</v>
      </c>
      <c r="P189" s="101">
        <f t="shared" si="64"/>
        <v>100</v>
      </c>
      <c r="Q189" s="101">
        <f t="shared" si="64"/>
        <v>100</v>
      </c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>
        <f>J161</f>
        <v>46.922500000000035</v>
      </c>
      <c r="K191" s="102">
        <f t="shared" ref="K191:Q191" si="65">K161</f>
        <v>49.157849999999975</v>
      </c>
      <c r="L191" s="102">
        <f t="shared" si="65"/>
        <v>51.98989950000005</v>
      </c>
      <c r="M191" s="102">
        <f t="shared" si="65"/>
        <v>55.754833469999959</v>
      </c>
      <c r="N191" s="102">
        <f t="shared" si="65"/>
        <v>59.233302943500021</v>
      </c>
      <c r="O191" s="102">
        <f t="shared" si="65"/>
        <v>62.334806529240012</v>
      </c>
      <c r="P191" s="102">
        <f t="shared" si="65"/>
        <v>64.828198790409573</v>
      </c>
      <c r="Q191" s="102">
        <f t="shared" si="65"/>
        <v>67.421326742026011</v>
      </c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66">K194</f>
        <v>0</v>
      </c>
      <c r="M194" s="61">
        <f t="shared" si="66"/>
        <v>0</v>
      </c>
      <c r="N194" s="61">
        <f t="shared" si="66"/>
        <v>0</v>
      </c>
      <c r="O194" s="61">
        <f t="shared" si="66"/>
        <v>0</v>
      </c>
      <c r="P194" s="61">
        <f t="shared" si="66"/>
        <v>0</v>
      </c>
      <c r="Q194" s="61">
        <f t="shared" si="66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67">J195</f>
        <v>0.01</v>
      </c>
      <c r="L195" s="62">
        <f t="shared" si="67"/>
        <v>0.01</v>
      </c>
      <c r="M195" s="62">
        <f t="shared" si="67"/>
        <v>0.01</v>
      </c>
      <c r="N195" s="62">
        <f t="shared" si="67"/>
        <v>0.01</v>
      </c>
      <c r="O195" s="62">
        <f t="shared" si="67"/>
        <v>0.01</v>
      </c>
      <c r="P195" s="62">
        <f t="shared" si="67"/>
        <v>0.01</v>
      </c>
      <c r="Q195" s="62">
        <f t="shared" si="67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67"/>
        <v>0</v>
      </c>
      <c r="L196" s="62">
        <f t="shared" si="67"/>
        <v>0</v>
      </c>
      <c r="M196" s="62">
        <f t="shared" si="67"/>
        <v>0</v>
      </c>
      <c r="N196" s="62">
        <f>M196</f>
        <v>0</v>
      </c>
      <c r="O196" s="62">
        <f t="shared" si="67"/>
        <v>0</v>
      </c>
      <c r="P196" s="62">
        <f t="shared" si="67"/>
        <v>0</v>
      </c>
      <c r="Q196" s="62">
        <f t="shared" si="67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67"/>
        <v>0</v>
      </c>
      <c r="L197" s="76">
        <f t="shared" si="67"/>
        <v>0</v>
      </c>
      <c r="M197" s="76">
        <f t="shared" si="67"/>
        <v>0</v>
      </c>
      <c r="N197" s="76">
        <f t="shared" si="67"/>
        <v>0</v>
      </c>
      <c r="O197" s="76">
        <f t="shared" si="67"/>
        <v>0</v>
      </c>
      <c r="P197" s="76">
        <f t="shared" si="67"/>
        <v>0</v>
      </c>
      <c r="Q197" s="76">
        <f t="shared" si="67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>
        <f>-MAX(0,MIN(J194*$I181,I181))</f>
        <v>0</v>
      </c>
      <c r="K200" s="82">
        <f t="shared" ref="K200:Q200" si="68">-MAX(0,MIN(K194*$I181,J181))</f>
        <v>0</v>
      </c>
      <c r="L200" s="82">
        <f t="shared" si="68"/>
        <v>0</v>
      </c>
      <c r="M200" s="82">
        <f t="shared" si="68"/>
        <v>0</v>
      </c>
      <c r="N200" s="82">
        <f t="shared" si="68"/>
        <v>0</v>
      </c>
      <c r="O200" s="82">
        <f t="shared" si="68"/>
        <v>0</v>
      </c>
      <c r="P200" s="82">
        <f t="shared" si="68"/>
        <v>0</v>
      </c>
      <c r="Q200" s="82">
        <f t="shared" si="68"/>
        <v>0</v>
      </c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>
        <f t="shared" ref="J201:Q201" si="69">-MAX(0,MIN(J195*$I182,I182))</f>
        <v>-2.75</v>
      </c>
      <c r="K201" s="72">
        <f t="shared" si="69"/>
        <v>-2.75</v>
      </c>
      <c r="L201" s="72">
        <f t="shared" si="69"/>
        <v>-2.75</v>
      </c>
      <c r="M201" s="72">
        <f t="shared" si="69"/>
        <v>-2.75</v>
      </c>
      <c r="N201" s="72">
        <f t="shared" si="69"/>
        <v>-2.75</v>
      </c>
      <c r="O201" s="72">
        <f t="shared" si="69"/>
        <v>-2.75</v>
      </c>
      <c r="P201" s="72">
        <f t="shared" si="69"/>
        <v>0</v>
      </c>
      <c r="Q201" s="72">
        <f t="shared" si="69"/>
        <v>0</v>
      </c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>
        <f t="shared" ref="J202:Q202" si="70">-MAX(0,MIN(J196*$I183,I183))</f>
        <v>0</v>
      </c>
      <c r="K202" s="72">
        <f t="shared" si="70"/>
        <v>0</v>
      </c>
      <c r="L202" s="72">
        <f t="shared" si="70"/>
        <v>0</v>
      </c>
      <c r="M202" s="72">
        <f t="shared" si="70"/>
        <v>0</v>
      </c>
      <c r="N202" s="72">
        <f t="shared" si="70"/>
        <v>0</v>
      </c>
      <c r="O202" s="72">
        <f t="shared" si="70"/>
        <v>0</v>
      </c>
      <c r="P202" s="72">
        <f t="shared" si="70"/>
        <v>0</v>
      </c>
      <c r="Q202" s="72">
        <f t="shared" si="70"/>
        <v>0</v>
      </c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>
        <f t="shared" ref="J203:Q203" si="71">-MAX(0,MIN(J197*$I184,I184))</f>
        <v>0</v>
      </c>
      <c r="K203" s="73">
        <f t="shared" si="71"/>
        <v>0</v>
      </c>
      <c r="L203" s="73">
        <f t="shared" si="71"/>
        <v>0</v>
      </c>
      <c r="M203" s="73">
        <f t="shared" si="71"/>
        <v>0</v>
      </c>
      <c r="N203" s="73">
        <f t="shared" si="71"/>
        <v>0</v>
      </c>
      <c r="O203" s="73">
        <f t="shared" si="71"/>
        <v>0</v>
      </c>
      <c r="P203" s="73">
        <f t="shared" si="71"/>
        <v>0</v>
      </c>
      <c r="Q203" s="73">
        <f t="shared" si="71"/>
        <v>0</v>
      </c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>
        <f>SUM(J200:J203)</f>
        <v>-2.75</v>
      </c>
      <c r="K204" s="51">
        <f t="shared" ref="K204:Q204" si="72">SUM(K200:K203)</f>
        <v>-2.75</v>
      </c>
      <c r="L204" s="51">
        <f t="shared" si="72"/>
        <v>-2.75</v>
      </c>
      <c r="M204" s="51">
        <f t="shared" si="72"/>
        <v>-2.75</v>
      </c>
      <c r="N204" s="51">
        <f t="shared" si="72"/>
        <v>-2.75</v>
      </c>
      <c r="O204" s="51">
        <f t="shared" si="72"/>
        <v>-2.75</v>
      </c>
      <c r="P204" s="51">
        <f t="shared" si="72"/>
        <v>0</v>
      </c>
      <c r="Q204" s="51">
        <f t="shared" si="72"/>
        <v>0</v>
      </c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>
        <f>J204+J191</f>
        <v>44.172500000000035</v>
      </c>
      <c r="K206" s="102">
        <f t="shared" ref="K206:Q206" si="73">K204+K191</f>
        <v>46.407849999999975</v>
      </c>
      <c r="L206" s="102">
        <f t="shared" si="73"/>
        <v>49.23989950000005</v>
      </c>
      <c r="M206" s="102">
        <f t="shared" si="73"/>
        <v>53.004833469999959</v>
      </c>
      <c r="N206" s="102">
        <f t="shared" si="73"/>
        <v>56.483302943500021</v>
      </c>
      <c r="O206" s="102">
        <f t="shared" si="73"/>
        <v>59.584806529240012</v>
      </c>
      <c r="P206" s="102">
        <f t="shared" si="73"/>
        <v>64.828198790409573</v>
      </c>
      <c r="Q206" s="102">
        <f t="shared" si="73"/>
        <v>67.421326742026011</v>
      </c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>
        <f t="shared" ref="J209:Q209" si="74">IF(J206&gt;0,-MAX(0,MIN(J206,I181)),-MIN(0,J206))</f>
        <v>0</v>
      </c>
      <c r="K209" s="82">
        <f t="shared" si="74"/>
        <v>0</v>
      </c>
      <c r="L209" s="82">
        <f t="shared" si="74"/>
        <v>0</v>
      </c>
      <c r="M209" s="82">
        <f t="shared" si="74"/>
        <v>0</v>
      </c>
      <c r="N209" s="82">
        <f t="shared" si="74"/>
        <v>0</v>
      </c>
      <c r="O209" s="82">
        <f t="shared" si="74"/>
        <v>0</v>
      </c>
      <c r="P209" s="82">
        <f t="shared" si="74"/>
        <v>0</v>
      </c>
      <c r="Q209" s="82">
        <f>IF(Q206&gt;0,-MAX(0,MIN(Q206,P181)),-MIN(0,Q206))</f>
        <v>0</v>
      </c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>
        <f>-MAX(0,MIN(SUM(J$206,J$209:J209),I182+J201))</f>
        <v>-44.172500000000035</v>
      </c>
      <c r="K210" s="72">
        <f>-MAX(0,MIN(SUM(K$206,K$209:K209),J182+K201))</f>
        <v>-46.407849999999975</v>
      </c>
      <c r="L210" s="72">
        <f>-MAX(0,MIN(SUM(L$206,L$209:L209),K182+L201))</f>
        <v>-49.23989950000005</v>
      </c>
      <c r="M210" s="72">
        <f>-MAX(0,MIN(SUM(M$206,M$209:M209),L182+M201))</f>
        <v>-53.004833469999959</v>
      </c>
      <c r="N210" s="72">
        <f>-MAX(0,MIN(SUM(N$206,N$209:N209),M182+N201))</f>
        <v>-56.483302943500021</v>
      </c>
      <c r="O210" s="72">
        <f>-MAX(0,MIN(SUM(O$206,O$209:O209),N182+O201))</f>
        <v>-9.1916140864999676</v>
      </c>
      <c r="P210" s="72">
        <f>-MAX(0,MIN(SUM(P$206,P$209:P209),O182+P201))</f>
        <v>0</v>
      </c>
      <c r="Q210" s="72">
        <f>-MAX(0,MIN(SUM(Q$206,Q$209:Q209),P182+Q201))</f>
        <v>0</v>
      </c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>
        <f>-MAX(0,MIN(SUM(J$206,J$209:J210),I183+J202))</f>
        <v>0</v>
      </c>
      <c r="K211" s="72">
        <f>-MAX(0,MIN(SUM(K$206,K$209:K210),J183+K202))</f>
        <v>0</v>
      </c>
      <c r="L211" s="72">
        <f>-MAX(0,MIN(SUM(L$206,L$209:L210),K183+L202))</f>
        <v>0</v>
      </c>
      <c r="M211" s="72">
        <f>-MAX(0,MIN(SUM(M$206,M$209:M210),L183+M202))</f>
        <v>0</v>
      </c>
      <c r="N211" s="72">
        <f>-MAX(0,MIN(SUM(N$206,N$209:N210),M183+N202))</f>
        <v>0</v>
      </c>
      <c r="O211" s="72">
        <f>-MAX(0,MIN(SUM(O$206,O$209:O210),N183+O202))</f>
        <v>-50.393192442740045</v>
      </c>
      <c r="P211" s="72">
        <f>-MAX(0,MIN(SUM(P$206,P$209:P210),O183+P202))</f>
        <v>-64.828198790409573</v>
      </c>
      <c r="Q211" s="72">
        <f>-MAX(0,MIN(SUM(Q$206,Q$209:Q210),P183+Q202))</f>
        <v>-67.421326742026011</v>
      </c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>
        <f>-MAX(0,MIN(SUM(J$206,J$209:J211),I184+J203))</f>
        <v>0</v>
      </c>
      <c r="K212" s="72">
        <f>-MAX(0,MIN(SUM(K$206,K$209:K211),J184+K203))</f>
        <v>0</v>
      </c>
      <c r="L212" s="72">
        <f>-MAX(0,MIN(SUM(L$206,L$209:L211),K184+L203))</f>
        <v>0</v>
      </c>
      <c r="M212" s="72">
        <f>-MAX(0,MIN(SUM(M$206,M$209:M211),L184+M203))</f>
        <v>0</v>
      </c>
      <c r="N212" s="72">
        <f>-MAX(0,MIN(SUM(N$206,N$209:N211),M184+N203))</f>
        <v>0</v>
      </c>
      <c r="O212" s="72">
        <f>-MAX(0,MIN(SUM(O$206,O$209:O211),N184+O203))</f>
        <v>0</v>
      </c>
      <c r="P212" s="72">
        <f>-MAX(0,MIN(SUM(P$206,P$209:P211),O184+P203))</f>
        <v>0</v>
      </c>
      <c r="Q212" s="72">
        <f>-MAX(0,MIN(SUM(Q$206,Q$209:Q211),P184+Q203))</f>
        <v>0</v>
      </c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>
        <f>SUM(J209:J212)</f>
        <v>-44.172500000000035</v>
      </c>
      <c r="K213" s="51">
        <f t="shared" ref="K213:Q213" si="75">SUM(K209:K212)</f>
        <v>-46.407849999999975</v>
      </c>
      <c r="L213" s="51">
        <f t="shared" si="75"/>
        <v>-49.23989950000005</v>
      </c>
      <c r="M213" s="51">
        <f t="shared" si="75"/>
        <v>-53.004833469999959</v>
      </c>
      <c r="N213" s="51">
        <f t="shared" si="75"/>
        <v>-56.483302943500021</v>
      </c>
      <c r="O213" s="51">
        <f t="shared" si="75"/>
        <v>-59.584806529240012</v>
      </c>
      <c r="P213" s="51">
        <f t="shared" si="75"/>
        <v>-64.828198790409573</v>
      </c>
      <c r="Q213" s="51">
        <f t="shared" si="75"/>
        <v>-67.421326742026011</v>
      </c>
    </row>
    <row r="214" spans="1:24" x14ac:dyDescent="0.2">
      <c r="H214" s="3" t="s">
        <v>185</v>
      </c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76">J$116</f>
        <v>43100</v>
      </c>
      <c r="K219" s="54">
        <f t="shared" si="76"/>
        <v>43465</v>
      </c>
      <c r="L219" s="54">
        <f t="shared" si="76"/>
        <v>43830</v>
      </c>
      <c r="M219" s="54">
        <f t="shared" si="76"/>
        <v>44196</v>
      </c>
      <c r="N219" s="54">
        <f t="shared" si="76"/>
        <v>44561</v>
      </c>
      <c r="O219" s="54">
        <f t="shared" si="76"/>
        <v>44926</v>
      </c>
      <c r="P219" s="54">
        <f t="shared" si="76"/>
        <v>45291</v>
      </c>
      <c r="Q219" s="54">
        <f t="shared" si="76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/>
      <c r="K228" s="72"/>
      <c r="L228" s="72"/>
      <c r="M228" s="72"/>
      <c r="N228" s="72"/>
      <c r="O228" s="72"/>
      <c r="P228" s="72"/>
      <c r="Q228" s="72"/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/>
      <c r="K229" s="73"/>
      <c r="L229" s="73"/>
      <c r="M229" s="73"/>
      <c r="N229" s="73"/>
      <c r="O229" s="73"/>
      <c r="P229" s="73"/>
      <c r="Q229" s="73"/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/>
      <c r="K232" s="108"/>
      <c r="L232" s="108"/>
      <c r="M232" s="108"/>
      <c r="N232" s="108"/>
      <c r="O232" s="108"/>
      <c r="P232" s="108"/>
      <c r="Q232" s="108"/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77">S10</f>
        <v>1</v>
      </c>
      <c r="H233" s="110">
        <f t="shared" si="77"/>
        <v>0.02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77"/>
        <v>1</v>
      </c>
      <c r="H234" s="109">
        <f t="shared" si="77"/>
        <v>0.03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77"/>
        <v>0</v>
      </c>
      <c r="H235" s="111">
        <f t="shared" si="77"/>
        <v>7.0000000000000007E-2</v>
      </c>
      <c r="I235" s="16"/>
      <c r="J235" s="111"/>
      <c r="K235" s="111"/>
      <c r="L235" s="111"/>
      <c r="M235" s="111"/>
      <c r="N235" s="111"/>
      <c r="O235" s="111"/>
      <c r="P235" s="111"/>
      <c r="Q235" s="111"/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77"/>
        <v>0</v>
      </c>
      <c r="H236" s="112">
        <f t="shared" si="77"/>
        <v>8.5000000000000006E-2</v>
      </c>
      <c r="I236" s="17"/>
      <c r="J236" s="112"/>
      <c r="K236" s="112"/>
      <c r="L236" s="112"/>
      <c r="M236" s="112"/>
      <c r="N236" s="112"/>
      <c r="O236" s="112"/>
      <c r="P236" s="112"/>
      <c r="Q236" s="112"/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/>
      <c r="K242" s="72"/>
      <c r="L242" s="72"/>
      <c r="M242" s="72"/>
      <c r="N242" s="72"/>
      <c r="O242" s="72"/>
      <c r="P242" s="72"/>
      <c r="Q242" s="72"/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/>
      <c r="K243" s="73"/>
      <c r="L243" s="73"/>
      <c r="M243" s="73"/>
      <c r="N243" s="73"/>
      <c r="O243" s="73"/>
      <c r="P243" s="73"/>
      <c r="Q243" s="73"/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/>
      <c r="K244" s="51"/>
      <c r="L244" s="51"/>
      <c r="M244" s="51"/>
      <c r="N244" s="51"/>
      <c r="O244" s="51"/>
      <c r="P244" s="51"/>
      <c r="Q244" s="51"/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78">V13</f>
        <v>3</v>
      </c>
      <c r="H248" s="17"/>
      <c r="I248" s="17"/>
      <c r="J248" s="73"/>
      <c r="K248" s="73"/>
      <c r="L248" s="73"/>
      <c r="M248" s="73"/>
      <c r="N248" s="73"/>
      <c r="O248" s="73"/>
      <c r="P248" s="73"/>
      <c r="Q248" s="73"/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/>
      <c r="K249" s="51"/>
      <c r="L249" s="51"/>
      <c r="M249" s="51"/>
      <c r="N249" s="51"/>
      <c r="O249" s="51"/>
      <c r="P249" s="51"/>
      <c r="Q249" s="51"/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/>
      <c r="K252" s="82"/>
      <c r="L252" s="82"/>
      <c r="M252" s="82"/>
      <c r="N252" s="82"/>
      <c r="O252" s="82"/>
      <c r="P252" s="82"/>
      <c r="Q252" s="82"/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/>
      <c r="K254" s="72"/>
      <c r="L254" s="72"/>
      <c r="M254" s="72"/>
      <c r="N254" s="72"/>
      <c r="O254" s="72"/>
      <c r="P254" s="72"/>
      <c r="Q254" s="72"/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/>
      <c r="K255" s="73"/>
      <c r="L255" s="73"/>
      <c r="M255" s="73"/>
      <c r="N255" s="73"/>
      <c r="O255" s="73"/>
      <c r="P255" s="73"/>
      <c r="Q255" s="73"/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/>
      <c r="K256" s="51"/>
      <c r="L256" s="51"/>
      <c r="M256" s="51"/>
      <c r="N256" s="51"/>
      <c r="O256" s="51"/>
      <c r="P256" s="51"/>
      <c r="Q256" s="51"/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/>
      <c r="K259" s="82"/>
      <c r="L259" s="82"/>
      <c r="M259" s="82"/>
      <c r="N259" s="82"/>
      <c r="O259" s="82"/>
      <c r="P259" s="82"/>
      <c r="Q259" s="82"/>
    </row>
    <row r="260" spans="1:24" x14ac:dyDescent="0.2">
      <c r="B260" s="20" t="s">
        <v>157</v>
      </c>
      <c r="J260" s="50"/>
      <c r="K260" s="50"/>
      <c r="L260" s="50"/>
      <c r="M260" s="50"/>
      <c r="N260" s="50"/>
      <c r="O260" s="50"/>
      <c r="P260" s="50"/>
      <c r="Q260" s="50"/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/>
      <c r="K261" s="51"/>
      <c r="L261" s="51"/>
      <c r="M261" s="51"/>
      <c r="N261" s="51"/>
      <c r="O261" s="51"/>
      <c r="P261" s="51"/>
      <c r="Q261" s="51"/>
    </row>
    <row r="262" spans="1:24" x14ac:dyDescent="0.2">
      <c r="B262" s="20" t="s">
        <v>159</v>
      </c>
      <c r="J262" s="50"/>
      <c r="K262" s="50"/>
      <c r="L262" s="50"/>
      <c r="M262" s="50"/>
      <c r="N262" s="50"/>
      <c r="O262" s="50"/>
      <c r="P262" s="50"/>
      <c r="Q262" s="50"/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/>
      <c r="K263" s="51"/>
      <c r="L263" s="51"/>
      <c r="M263" s="51"/>
      <c r="N263" s="51"/>
      <c r="O263" s="51"/>
      <c r="P263" s="51"/>
      <c r="Q263" s="51"/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/>
      <c r="K266" s="82"/>
      <c r="L266" s="82"/>
      <c r="M266" s="82"/>
      <c r="N266" s="82"/>
      <c r="O266" s="82"/>
      <c r="P266" s="82"/>
      <c r="Q266" s="82"/>
    </row>
    <row r="267" spans="1:24" x14ac:dyDescent="0.2">
      <c r="B267" s="20" t="s">
        <v>157</v>
      </c>
      <c r="J267" s="50"/>
      <c r="K267" s="50"/>
      <c r="L267" s="50"/>
      <c r="M267" s="50"/>
      <c r="N267" s="50"/>
      <c r="O267" s="50"/>
      <c r="P267" s="50"/>
      <c r="Q267" s="50"/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/>
      <c r="K268" s="51"/>
      <c r="L268" s="51"/>
      <c r="M268" s="51"/>
      <c r="N268" s="51"/>
      <c r="O268" s="51"/>
      <c r="P268" s="51"/>
      <c r="Q268" s="51"/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79">J$116</f>
        <v>43100</v>
      </c>
      <c r="K275" s="54">
        <f t="shared" si="79"/>
        <v>43465</v>
      </c>
      <c r="L275" s="54">
        <f t="shared" si="79"/>
        <v>43830</v>
      </c>
      <c r="M275" s="54">
        <f t="shared" si="79"/>
        <v>44196</v>
      </c>
      <c r="N275" s="54">
        <f t="shared" si="79"/>
        <v>44561</v>
      </c>
      <c r="O275" s="54">
        <f t="shared" si="79"/>
        <v>44926</v>
      </c>
      <c r="P275" s="54">
        <f t="shared" si="79"/>
        <v>45291</v>
      </c>
      <c r="Q275" s="54">
        <f t="shared" si="79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80">I$116</f>
        <v>42735</v>
      </c>
      <c r="J303" s="54">
        <f t="shared" ref="J303:Q303" si="81">J$116</f>
        <v>43100</v>
      </c>
      <c r="K303" s="54">
        <f t="shared" si="81"/>
        <v>43465</v>
      </c>
      <c r="L303" s="54">
        <f t="shared" si="81"/>
        <v>43830</v>
      </c>
      <c r="M303" s="54">
        <f t="shared" si="81"/>
        <v>44196</v>
      </c>
      <c r="N303" s="54">
        <f t="shared" si="81"/>
        <v>44561</v>
      </c>
      <c r="O303" s="54">
        <f t="shared" si="81"/>
        <v>44926</v>
      </c>
      <c r="P303" s="54">
        <f t="shared" si="81"/>
        <v>45291</v>
      </c>
      <c r="Q303" s="54">
        <f t="shared" si="81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2D36-1E6C-41DA-BD9B-4F8CBAC67821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200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>J59+J55</f>
        <v>76.650000000000006</v>
      </c>
      <c r="K60" s="51">
        <f t="shared" ref="K60:Q60" si="12">K59+K55</f>
        <v>81.248999999999995</v>
      </c>
      <c r="L60" s="51">
        <f t="shared" si="12"/>
        <v>86.936430000000016</v>
      </c>
      <c r="M60" s="51">
        <f t="shared" si="12"/>
        <v>92.152615800000007</v>
      </c>
      <c r="N60" s="51">
        <f t="shared" si="12"/>
        <v>96.760246590000008</v>
      </c>
      <c r="O60" s="51">
        <f t="shared" si="12"/>
        <v>100.63065645360001</v>
      </c>
      <c r="P60" s="51">
        <f t="shared" si="12"/>
        <v>104.655882711744</v>
      </c>
      <c r="Q60" s="51">
        <f t="shared" si="12"/>
        <v>108.84211802021377</v>
      </c>
    </row>
    <row r="61" spans="2:17" x14ac:dyDescent="0.2">
      <c r="B61" s="20"/>
    </row>
    <row r="62" spans="2:17" x14ac:dyDescent="0.2">
      <c r="B62" s="20" t="s">
        <v>96</v>
      </c>
      <c r="J62" s="49">
        <f>-J60*$H$36</f>
        <v>-26.827500000000001</v>
      </c>
      <c r="K62" s="49">
        <f t="shared" ref="K62:Q62" si="13">-K60*$H$36</f>
        <v>-28.437149999999995</v>
      </c>
      <c r="L62" s="49">
        <f t="shared" si="13"/>
        <v>-30.427750500000002</v>
      </c>
      <c r="M62" s="49">
        <f t="shared" si="13"/>
        <v>-32.253415529999998</v>
      </c>
      <c r="N62" s="49">
        <f t="shared" si="13"/>
        <v>-33.866086306500002</v>
      </c>
      <c r="O62" s="49">
        <f t="shared" si="13"/>
        <v>-35.220729758760001</v>
      </c>
      <c r="P62" s="49">
        <f t="shared" si="13"/>
        <v>-36.629558949110397</v>
      </c>
      <c r="Q62" s="49">
        <f t="shared" si="13"/>
        <v>-38.09474130707482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>J62+J60</f>
        <v>49.822500000000005</v>
      </c>
      <c r="K63" s="51">
        <f t="shared" ref="K63:Q63" si="14">K62+K60</f>
        <v>52.81185</v>
      </c>
      <c r="L63" s="51">
        <f t="shared" si="14"/>
        <v>56.508679500000014</v>
      </c>
      <c r="M63" s="51">
        <f t="shared" si="14"/>
        <v>59.899200270000009</v>
      </c>
      <c r="N63" s="51">
        <f t="shared" si="14"/>
        <v>62.894160283500007</v>
      </c>
      <c r="O63" s="51">
        <f t="shared" si="14"/>
        <v>65.40992669484001</v>
      </c>
      <c r="P63" s="51">
        <f t="shared" si="14"/>
        <v>68.026323762633609</v>
      </c>
      <c r="Q63" s="51">
        <f t="shared" si="14"/>
        <v>70.747376713138948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15">IFERROR(J63/J$47,0)</f>
        <v>0.13874269005847953</v>
      </c>
      <c r="K64" s="59">
        <f t="shared" si="15"/>
        <v>0.13874269005847953</v>
      </c>
      <c r="L64" s="59">
        <f t="shared" si="15"/>
        <v>0.13874269005847956</v>
      </c>
      <c r="M64" s="59">
        <f t="shared" si="15"/>
        <v>0.13874269005847953</v>
      </c>
      <c r="N64" s="59">
        <f t="shared" si="15"/>
        <v>0.13874269005847953</v>
      </c>
      <c r="O64" s="59">
        <f t="shared" si="15"/>
        <v>0.13874269005847953</v>
      </c>
      <c r="P64" s="59">
        <f t="shared" si="15"/>
        <v>0.13874269005847953</v>
      </c>
      <c r="Q64" s="59">
        <f t="shared" si="15"/>
        <v>0.13874269005847953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16">IFERROR(J63/I63-1,0)</f>
        <v>0</v>
      </c>
      <c r="K65" s="57">
        <f t="shared" si="16"/>
        <v>5.9999999999999831E-2</v>
      </c>
      <c r="L65" s="57">
        <f t="shared" si="16"/>
        <v>7.0000000000000284E-2</v>
      </c>
      <c r="M65" s="57">
        <f t="shared" si="16"/>
        <v>5.9999999999999831E-2</v>
      </c>
      <c r="N65" s="57">
        <f t="shared" si="16"/>
        <v>5.0000000000000044E-2</v>
      </c>
      <c r="O65" s="57">
        <f t="shared" si="16"/>
        <v>4.0000000000000036E-2</v>
      </c>
      <c r="P65" s="57">
        <f t="shared" si="16"/>
        <v>4.0000000000000036E-2</v>
      </c>
      <c r="Q65" s="57">
        <f t="shared" si="16"/>
        <v>3.9999999999999813E-2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7">O69</f>
        <v>0.04</v>
      </c>
      <c r="Q69" s="61">
        <f t="shared" si="17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8">J70</f>
        <v>0.4</v>
      </c>
      <c r="L70" s="61">
        <f t="shared" si="18"/>
        <v>0.4</v>
      </c>
      <c r="M70" s="61">
        <f t="shared" si="18"/>
        <v>0.4</v>
      </c>
      <c r="N70" s="61">
        <f t="shared" si="18"/>
        <v>0.4</v>
      </c>
      <c r="O70" s="61">
        <f t="shared" si="18"/>
        <v>0.4</v>
      </c>
      <c r="P70" s="61">
        <f t="shared" si="18"/>
        <v>0.4</v>
      </c>
      <c r="Q70" s="61">
        <f t="shared" si="18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8"/>
        <v>0.26315789473684209</v>
      </c>
      <c r="L71" s="62">
        <f t="shared" si="18"/>
        <v>0.26315789473684209</v>
      </c>
      <c r="M71" s="62">
        <f t="shared" si="18"/>
        <v>0.26315789473684209</v>
      </c>
      <c r="N71" s="62">
        <f t="shared" si="18"/>
        <v>0.26315789473684209</v>
      </c>
      <c r="O71" s="62">
        <f t="shared" si="18"/>
        <v>0.26315789473684209</v>
      </c>
      <c r="P71" s="62">
        <f t="shared" si="18"/>
        <v>0.26315789473684209</v>
      </c>
      <c r="Q71" s="62">
        <f t="shared" si="18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8"/>
        <v>4.9707602339181284E-2</v>
      </c>
      <c r="L72" s="62">
        <f t="shared" si="18"/>
        <v>4.9707602339181284E-2</v>
      </c>
      <c r="M72" s="62">
        <f t="shared" si="18"/>
        <v>4.9707602339181284E-2</v>
      </c>
      <c r="N72" s="62">
        <f t="shared" si="18"/>
        <v>4.9707602339181284E-2</v>
      </c>
      <c r="O72" s="62">
        <f t="shared" si="18"/>
        <v>4.9707602339181284E-2</v>
      </c>
      <c r="P72" s="62">
        <f t="shared" si="18"/>
        <v>4.9707602339181284E-2</v>
      </c>
      <c r="Q72" s="62">
        <f t="shared" si="18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8"/>
        <v>4.9707602339181284E-2</v>
      </c>
      <c r="L73" s="76">
        <f t="shared" si="18"/>
        <v>4.9707602339181284E-2</v>
      </c>
      <c r="M73" s="76">
        <f t="shared" si="18"/>
        <v>4.9707602339181284E-2</v>
      </c>
      <c r="N73" s="76">
        <f t="shared" si="18"/>
        <v>4.9707602339181284E-2</v>
      </c>
      <c r="O73" s="76">
        <f t="shared" si="18"/>
        <v>4.9707602339181284E-2</v>
      </c>
      <c r="P73" s="76">
        <f t="shared" si="18"/>
        <v>4.9707602339181284E-2</v>
      </c>
      <c r="Q73" s="76">
        <f t="shared" si="18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>
        <f>I47</f>
        <v>342</v>
      </c>
      <c r="J84" s="82">
        <f t="shared" ref="J84:Q84" si="19">J47</f>
        <v>359.1</v>
      </c>
      <c r="K84" s="82">
        <f t="shared" si="19"/>
        <v>380.64600000000002</v>
      </c>
      <c r="L84" s="82">
        <f t="shared" si="19"/>
        <v>407.29122000000007</v>
      </c>
      <c r="M84" s="82">
        <f t="shared" si="19"/>
        <v>431.72869320000007</v>
      </c>
      <c r="N84" s="82">
        <f t="shared" si="19"/>
        <v>453.31512786000008</v>
      </c>
      <c r="O84" s="82">
        <f t="shared" si="19"/>
        <v>471.44773297440008</v>
      </c>
      <c r="P84" s="82">
        <f t="shared" si="19"/>
        <v>490.30564229337608</v>
      </c>
      <c r="Q84" s="82">
        <f t="shared" si="19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>
        <f>I84*I70</f>
        <v>136.80000000000001</v>
      </c>
      <c r="J85" s="87">
        <f t="shared" ref="J85:Q85" si="20">J84*J70</f>
        <v>143.64000000000001</v>
      </c>
      <c r="K85" s="87">
        <f t="shared" si="20"/>
        <v>152.25840000000002</v>
      </c>
      <c r="L85" s="87">
        <f t="shared" si="20"/>
        <v>162.91648800000004</v>
      </c>
      <c r="M85" s="87">
        <f t="shared" si="20"/>
        <v>172.69147728000004</v>
      </c>
      <c r="N85" s="87">
        <f t="shared" si="20"/>
        <v>181.32605114400005</v>
      </c>
      <c r="O85" s="87">
        <f t="shared" si="20"/>
        <v>188.57909318976004</v>
      </c>
      <c r="P85" s="87">
        <f t="shared" si="20"/>
        <v>196.12225691735046</v>
      </c>
      <c r="Q85" s="87">
        <f t="shared" si="20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I98/I84*F87</f>
        <v>94.73684210526315</v>
      </c>
      <c r="J88" s="92">
        <f>I88</f>
        <v>94.73684210526315</v>
      </c>
      <c r="K88" s="92">
        <f t="shared" ref="K88:Q88" si="21">J88</f>
        <v>94.73684210526315</v>
      </c>
      <c r="L88" s="92">
        <f t="shared" si="21"/>
        <v>94.73684210526315</v>
      </c>
      <c r="M88" s="92">
        <f t="shared" si="21"/>
        <v>94.73684210526315</v>
      </c>
      <c r="N88" s="92">
        <f t="shared" si="21"/>
        <v>94.73684210526315</v>
      </c>
      <c r="O88" s="92">
        <f t="shared" si="21"/>
        <v>94.73684210526315</v>
      </c>
      <c r="P88" s="92">
        <f t="shared" si="21"/>
        <v>94.73684210526315</v>
      </c>
      <c r="Q88" s="92">
        <f t="shared" si="21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I99/I85*F87</f>
        <v>118.42105263157893</v>
      </c>
      <c r="J89" s="93">
        <f t="shared" ref="J89:Q90" si="22">I89</f>
        <v>118.42105263157893</v>
      </c>
      <c r="K89" s="93">
        <f t="shared" si="22"/>
        <v>118.42105263157893</v>
      </c>
      <c r="L89" s="93">
        <f t="shared" si="22"/>
        <v>118.42105263157893</v>
      </c>
      <c r="M89" s="93">
        <f t="shared" si="22"/>
        <v>118.42105263157893</v>
      </c>
      <c r="N89" s="93">
        <f t="shared" si="22"/>
        <v>118.42105263157893</v>
      </c>
      <c r="O89" s="93">
        <f t="shared" si="22"/>
        <v>118.42105263157893</v>
      </c>
      <c r="P89" s="93">
        <f t="shared" si="22"/>
        <v>118.42105263157893</v>
      </c>
      <c r="Q89" s="93">
        <f t="shared" si="22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I103/I85*F87</f>
        <v>115.78947368421052</v>
      </c>
      <c r="J90" s="94">
        <f t="shared" si="22"/>
        <v>115.78947368421052</v>
      </c>
      <c r="K90" s="94">
        <f t="shared" si="22"/>
        <v>115.78947368421052</v>
      </c>
      <c r="L90" s="94">
        <f t="shared" si="22"/>
        <v>115.78947368421052</v>
      </c>
      <c r="M90" s="94">
        <f t="shared" si="22"/>
        <v>115.78947368421052</v>
      </c>
      <c r="N90" s="94">
        <f t="shared" si="22"/>
        <v>115.78947368421052</v>
      </c>
      <c r="O90" s="94">
        <f t="shared" si="22"/>
        <v>115.78947368421052</v>
      </c>
      <c r="P90" s="94">
        <f t="shared" si="22"/>
        <v>115.78947368421052</v>
      </c>
      <c r="Q90" s="94">
        <f t="shared" si="22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 t="shared" ref="J91:Q91" si="23">J88+J89-J90</f>
        <v>97.368421052631561</v>
      </c>
      <c r="K91" s="95">
        <f t="shared" si="23"/>
        <v>97.368421052631561</v>
      </c>
      <c r="L91" s="95">
        <f t="shared" si="23"/>
        <v>97.368421052631561</v>
      </c>
      <c r="M91" s="95">
        <f t="shared" si="23"/>
        <v>97.368421052631561</v>
      </c>
      <c r="N91" s="95">
        <f t="shared" si="23"/>
        <v>97.368421052631561</v>
      </c>
      <c r="O91" s="95">
        <f t="shared" si="23"/>
        <v>97.368421052631561</v>
      </c>
      <c r="P91" s="95">
        <f t="shared" si="23"/>
        <v>97.368421052631561</v>
      </c>
      <c r="Q91" s="95">
        <f t="shared" si="23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24">J93</f>
        <v>2.046783625730994E-2</v>
      </c>
      <c r="L93" s="61">
        <f t="shared" si="24"/>
        <v>2.046783625730994E-2</v>
      </c>
      <c r="M93" s="61">
        <f t="shared" si="24"/>
        <v>2.046783625730994E-2</v>
      </c>
      <c r="N93" s="61">
        <f t="shared" si="24"/>
        <v>2.046783625730994E-2</v>
      </c>
      <c r="O93" s="61">
        <f t="shared" si="24"/>
        <v>2.046783625730994E-2</v>
      </c>
      <c r="P93" s="61">
        <f t="shared" si="24"/>
        <v>2.046783625730994E-2</v>
      </c>
      <c r="Q93" s="61">
        <f t="shared" si="24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 t="shared" ref="J94:Q95" si="25">I94</f>
        <v>0.10818713450292397</v>
      </c>
      <c r="K94" s="62">
        <f t="shared" si="25"/>
        <v>0.10818713450292397</v>
      </c>
      <c r="L94" s="62">
        <f t="shared" si="25"/>
        <v>0.10818713450292397</v>
      </c>
      <c r="M94" s="62">
        <f t="shared" si="25"/>
        <v>0.10818713450292397</v>
      </c>
      <c r="N94" s="62">
        <f t="shared" si="25"/>
        <v>0.10818713450292397</v>
      </c>
      <c r="O94" s="62">
        <f t="shared" si="25"/>
        <v>0.10818713450292397</v>
      </c>
      <c r="P94" s="62">
        <f t="shared" si="25"/>
        <v>0.10818713450292397</v>
      </c>
      <c r="Q94" s="62">
        <f t="shared" si="25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si="25"/>
        <v>8.771929824561403E-3</v>
      </c>
      <c r="K95" s="76">
        <f t="shared" si="25"/>
        <v>8.771929824561403E-3</v>
      </c>
      <c r="L95" s="76">
        <f t="shared" si="25"/>
        <v>8.771929824561403E-3</v>
      </c>
      <c r="M95" s="76">
        <f t="shared" si="25"/>
        <v>8.771929824561403E-3</v>
      </c>
      <c r="N95" s="76">
        <f t="shared" si="25"/>
        <v>8.771929824561403E-3</v>
      </c>
      <c r="O95" s="76">
        <f t="shared" si="25"/>
        <v>8.771929824561403E-3</v>
      </c>
      <c r="P95" s="76">
        <f t="shared" si="25"/>
        <v>8.771929824561403E-3</v>
      </c>
      <c r="Q95" s="76">
        <f t="shared" si="25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9" si="26">K88/$F$87*K84</f>
        <v>100.17</v>
      </c>
      <c r="L98" s="82">
        <f t="shared" si="26"/>
        <v>107.18190000000001</v>
      </c>
      <c r="M98" s="82">
        <f t="shared" si="26"/>
        <v>113.61281400000001</v>
      </c>
      <c r="N98" s="82">
        <f t="shared" si="26"/>
        <v>119.29345470000001</v>
      </c>
      <c r="O98" s="82">
        <f t="shared" si="26"/>
        <v>124.06519288800001</v>
      </c>
      <c r="P98" s="82">
        <f t="shared" si="26"/>
        <v>129.02780060352001</v>
      </c>
      <c r="Q98" s="82">
        <f t="shared" si="26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 t="shared" ref="I99:I100" si="27">H121</f>
        <v>45</v>
      </c>
      <c r="J99" s="72">
        <f>J89/$F$87*J85</f>
        <v>47.25</v>
      </c>
      <c r="K99" s="72">
        <f t="shared" si="26"/>
        <v>50.085000000000001</v>
      </c>
      <c r="L99" s="72">
        <f t="shared" si="26"/>
        <v>53.590950000000007</v>
      </c>
      <c r="M99" s="72">
        <f t="shared" si="26"/>
        <v>56.806407000000007</v>
      </c>
      <c r="N99" s="72">
        <f t="shared" si="26"/>
        <v>59.646727350000006</v>
      </c>
      <c r="O99" s="72">
        <f t="shared" si="26"/>
        <v>62.032596444000006</v>
      </c>
      <c r="P99" s="72">
        <f t="shared" si="26"/>
        <v>64.513900301760017</v>
      </c>
      <c r="Q99" s="72">
        <f t="shared" si="26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 t="shared" si="27"/>
        <v>7</v>
      </c>
      <c r="J100" s="73">
        <f>J93*J84</f>
        <v>7.35</v>
      </c>
      <c r="K100" s="73">
        <f t="shared" ref="K100:Q100" si="28">K93*K84</f>
        <v>7.7909999999999995</v>
      </c>
      <c r="L100" s="73">
        <f t="shared" si="28"/>
        <v>8.3363700000000005</v>
      </c>
      <c r="M100" s="73">
        <f t="shared" si="28"/>
        <v>8.8365522000000016</v>
      </c>
      <c r="N100" s="73">
        <f t="shared" si="28"/>
        <v>9.2783798100000006</v>
      </c>
      <c r="O100" s="73">
        <f t="shared" si="28"/>
        <v>9.6495150024000012</v>
      </c>
      <c r="P100" s="73">
        <f t="shared" si="28"/>
        <v>10.035495602496001</v>
      </c>
      <c r="Q100" s="73">
        <f t="shared" si="28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29">SUM(K98:K100)</f>
        <v>158.04599999999999</v>
      </c>
      <c r="L101" s="51">
        <f t="shared" si="29"/>
        <v>169.10921999999999</v>
      </c>
      <c r="M101" s="51">
        <f t="shared" si="29"/>
        <v>179.25577320000002</v>
      </c>
      <c r="N101" s="51">
        <f t="shared" si="29"/>
        <v>188.21856186000002</v>
      </c>
      <c r="O101" s="51">
        <f t="shared" si="29"/>
        <v>195.74730433440001</v>
      </c>
      <c r="P101" s="51">
        <f t="shared" si="29"/>
        <v>203.57719650777605</v>
      </c>
      <c r="Q101" s="51">
        <f t="shared" si="29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30">K90/$F$87*K85</f>
        <v>48.972000000000001</v>
      </c>
      <c r="L103" s="82">
        <f t="shared" si="30"/>
        <v>52.400040000000011</v>
      </c>
      <c r="M103" s="82">
        <f t="shared" si="30"/>
        <v>55.544042400000009</v>
      </c>
      <c r="N103" s="82">
        <f t="shared" si="30"/>
        <v>58.321244520000015</v>
      </c>
      <c r="O103" s="82">
        <f t="shared" si="30"/>
        <v>60.654094300800011</v>
      </c>
      <c r="P103" s="82">
        <f t="shared" si="30"/>
        <v>63.080258072832017</v>
      </c>
      <c r="Q103" s="82">
        <f t="shared" si="30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31">H131</f>
        <v>37</v>
      </c>
      <c r="J104" s="72">
        <f>J94*J$84</f>
        <v>38.85</v>
      </c>
      <c r="K104" s="72">
        <f t="shared" ref="K104:Q104" si="32">K94*K$84</f>
        <v>41.180999999999997</v>
      </c>
      <c r="L104" s="72">
        <f t="shared" si="32"/>
        <v>44.063670000000002</v>
      </c>
      <c r="M104" s="72">
        <f t="shared" si="32"/>
        <v>46.707490200000002</v>
      </c>
      <c r="N104" s="72">
        <f t="shared" si="32"/>
        <v>49.042864710000003</v>
      </c>
      <c r="O104" s="72">
        <f t="shared" si="32"/>
        <v>51.004579298400003</v>
      </c>
      <c r="P104" s="72">
        <f t="shared" si="32"/>
        <v>53.044762470336003</v>
      </c>
      <c r="Q104" s="72">
        <f t="shared" si="32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31"/>
        <v>3</v>
      </c>
      <c r="J105" s="73">
        <f t="shared" ref="J105:Q105" si="33">J95*J$84</f>
        <v>3.15</v>
      </c>
      <c r="K105" s="73">
        <f t="shared" si="33"/>
        <v>3.339</v>
      </c>
      <c r="L105" s="73">
        <f t="shared" si="33"/>
        <v>3.5727300000000004</v>
      </c>
      <c r="M105" s="73">
        <f t="shared" si="33"/>
        <v>3.7870938000000005</v>
      </c>
      <c r="N105" s="73">
        <f t="shared" si="33"/>
        <v>3.9764484900000006</v>
      </c>
      <c r="O105" s="73">
        <f t="shared" si="33"/>
        <v>4.1355064296000004</v>
      </c>
      <c r="P105" s="73">
        <f t="shared" si="33"/>
        <v>4.3009266867840008</v>
      </c>
      <c r="Q105" s="73">
        <f t="shared" si="33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34">SUM(K103:K105)</f>
        <v>93.49199999999999</v>
      </c>
      <c r="L106" s="51">
        <f t="shared" si="34"/>
        <v>100.03644000000003</v>
      </c>
      <c r="M106" s="51">
        <f t="shared" si="34"/>
        <v>106.03862640000001</v>
      </c>
      <c r="N106" s="51">
        <f t="shared" si="34"/>
        <v>111.34055772000002</v>
      </c>
      <c r="O106" s="51">
        <f t="shared" si="34"/>
        <v>115.79418002880001</v>
      </c>
      <c r="P106" s="51">
        <f t="shared" si="34"/>
        <v>120.42594722995202</v>
      </c>
      <c r="Q106" s="51">
        <f t="shared" si="34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 t="shared" ref="J108:Q108" si="35">J101-J106</f>
        <v>60.899999999999977</v>
      </c>
      <c r="K108" s="51">
        <f t="shared" si="35"/>
        <v>64.554000000000002</v>
      </c>
      <c r="L108" s="51">
        <f t="shared" si="35"/>
        <v>69.072779999999966</v>
      </c>
      <c r="M108" s="51">
        <f t="shared" si="35"/>
        <v>73.217146800000009</v>
      </c>
      <c r="N108" s="51">
        <f t="shared" si="35"/>
        <v>76.878004140000002</v>
      </c>
      <c r="O108" s="51">
        <f t="shared" si="35"/>
        <v>79.953124305599999</v>
      </c>
      <c r="P108" s="51">
        <f t="shared" si="35"/>
        <v>83.151249277824036</v>
      </c>
      <c r="Q108" s="51">
        <f t="shared" si="35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36">J108-K108</f>
        <v>-3.6540000000000248</v>
      </c>
      <c r="L109" s="49">
        <f t="shared" si="36"/>
        <v>-4.518779999999964</v>
      </c>
      <c r="M109" s="49">
        <f t="shared" si="36"/>
        <v>-4.1443668000000429</v>
      </c>
      <c r="N109" s="49">
        <f t="shared" si="36"/>
        <v>-3.6608573399999926</v>
      </c>
      <c r="O109" s="49">
        <f t="shared" si="36"/>
        <v>-3.0751201655999978</v>
      </c>
      <c r="P109" s="49">
        <f t="shared" si="36"/>
        <v>-3.1981249722240364</v>
      </c>
      <c r="Q109" s="49">
        <f t="shared" si="36"/>
        <v>-3.326049971112937</v>
      </c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 t="shared" ref="I121:I122" si="37">H121</f>
        <v>45</v>
      </c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2">
        <f t="shared" si="37"/>
        <v>7</v>
      </c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38">H131</f>
        <v>37</v>
      </c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38"/>
        <v>3</v>
      </c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>
        <f>SUM(G15:G16)-G24</f>
        <v>220.9375</v>
      </c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39">ROUND(J140,3) = ROUND(J127,3)</f>
        <v>1</v>
      </c>
      <c r="K141" s="91" t="b">
        <f t="shared" si="39"/>
        <v>1</v>
      </c>
      <c r="L141" s="91" t="b">
        <f t="shared" si="39"/>
        <v>1</v>
      </c>
      <c r="M141" s="91" t="b">
        <f t="shared" si="39"/>
        <v>1</v>
      </c>
      <c r="N141" s="91" t="b">
        <f t="shared" si="39"/>
        <v>1</v>
      </c>
      <c r="O141" s="91" t="b">
        <f t="shared" si="39"/>
        <v>1</v>
      </c>
      <c r="P141" s="91" t="b">
        <f t="shared" si="39"/>
        <v>1</v>
      </c>
      <c r="Q141" s="91" t="b">
        <f t="shared" si="39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>J63</f>
        <v>49.822500000000005</v>
      </c>
      <c r="K150" s="82">
        <f t="shared" ref="K150:Q150" si="40">K63</f>
        <v>52.81185</v>
      </c>
      <c r="L150" s="82">
        <f t="shared" si="40"/>
        <v>56.508679500000014</v>
      </c>
      <c r="M150" s="82">
        <f t="shared" si="40"/>
        <v>59.899200270000009</v>
      </c>
      <c r="N150" s="82">
        <f t="shared" si="40"/>
        <v>62.894160283500007</v>
      </c>
      <c r="O150" s="82">
        <f t="shared" si="40"/>
        <v>65.40992669484001</v>
      </c>
      <c r="P150" s="82">
        <f t="shared" si="40"/>
        <v>68.026323762633609</v>
      </c>
      <c r="Q150" s="82">
        <f t="shared" si="40"/>
        <v>70.747376713138948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41">-K54</f>
        <v>18.920999999999999</v>
      </c>
      <c r="L151" s="72">
        <f t="shared" si="41"/>
        <v>20.245470000000001</v>
      </c>
      <c r="M151" s="72">
        <f t="shared" si="41"/>
        <v>21.460198200000001</v>
      </c>
      <c r="N151" s="72">
        <f t="shared" si="41"/>
        <v>22.533208110000004</v>
      </c>
      <c r="O151" s="72">
        <f t="shared" si="41"/>
        <v>23.434536434400002</v>
      </c>
      <c r="P151" s="72">
        <f t="shared" si="41"/>
        <v>24.371917891776004</v>
      </c>
      <c r="Q151" s="72">
        <f t="shared" si="41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42">K109</f>
        <v>-3.6540000000000248</v>
      </c>
      <c r="L153" s="73">
        <f t="shared" si="42"/>
        <v>-4.518779999999964</v>
      </c>
      <c r="M153" s="73">
        <f t="shared" si="42"/>
        <v>-4.1443668000000429</v>
      </c>
      <c r="N153" s="73">
        <f t="shared" si="42"/>
        <v>-3.6608573399999926</v>
      </c>
      <c r="O153" s="73">
        <f t="shared" si="42"/>
        <v>-3.0751201655999978</v>
      </c>
      <c r="P153" s="73">
        <f t="shared" si="42"/>
        <v>-3.1981249722240364</v>
      </c>
      <c r="Q153" s="73">
        <f t="shared" si="42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>SUM(J150:J153)</f>
        <v>64.772500000000036</v>
      </c>
      <c r="K154" s="51">
        <f t="shared" ref="K154:Q154" si="43">SUM(K150:K153)</f>
        <v>68.078849999999974</v>
      </c>
      <c r="L154" s="51">
        <f t="shared" si="43"/>
        <v>72.235369500000047</v>
      </c>
      <c r="M154" s="51">
        <f t="shared" si="43"/>
        <v>77.215031669999959</v>
      </c>
      <c r="N154" s="51">
        <f t="shared" si="43"/>
        <v>81.766511053500025</v>
      </c>
      <c r="O154" s="51">
        <f t="shared" si="43"/>
        <v>85.769342963640014</v>
      </c>
      <c r="P154" s="51">
        <f t="shared" si="43"/>
        <v>89.20011668218558</v>
      </c>
      <c r="Q154" s="51">
        <f t="shared" si="43"/>
        <v>92.768121349473049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44">-K73*K47</f>
        <v>-18.920999999999999</v>
      </c>
      <c r="L155" s="50">
        <f t="shared" si="44"/>
        <v>-20.245470000000001</v>
      </c>
      <c r="M155" s="50">
        <f t="shared" si="44"/>
        <v>-21.460198200000001</v>
      </c>
      <c r="N155" s="50">
        <f t="shared" si="44"/>
        <v>-22.533208110000004</v>
      </c>
      <c r="O155" s="50">
        <f t="shared" si="44"/>
        <v>-23.434536434400002</v>
      </c>
      <c r="P155" s="50">
        <f t="shared" si="44"/>
        <v>-24.371917891776004</v>
      </c>
      <c r="Q155" s="50">
        <f t="shared" si="44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>SUM(J154:J155)</f>
        <v>46.922500000000035</v>
      </c>
      <c r="K156" s="51">
        <f t="shared" ref="K156:Q156" si="45">SUM(K154:K155)</f>
        <v>49.157849999999975</v>
      </c>
      <c r="L156" s="51">
        <f t="shared" si="45"/>
        <v>51.98989950000005</v>
      </c>
      <c r="M156" s="51">
        <f t="shared" si="45"/>
        <v>55.754833469999959</v>
      </c>
      <c r="N156" s="51">
        <f t="shared" si="45"/>
        <v>59.233302943500021</v>
      </c>
      <c r="O156" s="51">
        <f t="shared" si="45"/>
        <v>62.334806529240012</v>
      </c>
      <c r="P156" s="51">
        <f t="shared" si="45"/>
        <v>64.828198790409573</v>
      </c>
      <c r="Q156" s="51">
        <f t="shared" si="45"/>
        <v>67.421326742026011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si="46">J167</f>
        <v>5</v>
      </c>
      <c r="L158" s="82">
        <f t="shared" si="46"/>
        <v>5</v>
      </c>
      <c r="M158" s="82">
        <f t="shared" si="46"/>
        <v>5</v>
      </c>
      <c r="N158" s="82">
        <f t="shared" si="46"/>
        <v>5</v>
      </c>
      <c r="O158" s="82">
        <f t="shared" si="46"/>
        <v>5</v>
      </c>
      <c r="P158" s="82">
        <f t="shared" si="46"/>
        <v>5</v>
      </c>
      <c r="Q158" s="82">
        <f t="shared" si="46"/>
        <v>5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>J156</f>
        <v>46.922500000000035</v>
      </c>
      <c r="K159" s="72">
        <f t="shared" ref="K159:Q159" si="47">K156</f>
        <v>49.157849999999975</v>
      </c>
      <c r="L159" s="72">
        <f t="shared" si="47"/>
        <v>51.98989950000005</v>
      </c>
      <c r="M159" s="72">
        <f t="shared" si="47"/>
        <v>55.754833469999959</v>
      </c>
      <c r="N159" s="72">
        <f t="shared" si="47"/>
        <v>59.233302943500021</v>
      </c>
      <c r="O159" s="72">
        <f t="shared" si="47"/>
        <v>62.334806529240012</v>
      </c>
      <c r="P159" s="72">
        <f t="shared" si="47"/>
        <v>64.828198790409573</v>
      </c>
      <c r="Q159" s="72">
        <f t="shared" si="47"/>
        <v>67.421326742026011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48">-$H$32</f>
        <v>-5</v>
      </c>
      <c r="L160" s="73">
        <f t="shared" si="48"/>
        <v>-5</v>
      </c>
      <c r="M160" s="73">
        <f t="shared" si="48"/>
        <v>-5</v>
      </c>
      <c r="N160" s="73">
        <f t="shared" si="48"/>
        <v>-5</v>
      </c>
      <c r="O160" s="73">
        <f t="shared" si="48"/>
        <v>-5</v>
      </c>
      <c r="P160" s="73">
        <f t="shared" si="48"/>
        <v>-5</v>
      </c>
      <c r="Q160" s="73">
        <f t="shared" si="48"/>
        <v>-5</v>
      </c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>SUM(J158:J160)</f>
        <v>46.922500000000035</v>
      </c>
      <c r="K161" s="51">
        <f t="shared" ref="K161:Q161" si="49">SUM(K158:K160)</f>
        <v>49.157849999999975</v>
      </c>
      <c r="L161" s="51">
        <f t="shared" si="49"/>
        <v>51.98989950000005</v>
      </c>
      <c r="M161" s="51">
        <f t="shared" si="49"/>
        <v>55.754833469999959</v>
      </c>
      <c r="N161" s="51">
        <f t="shared" si="49"/>
        <v>59.233302943500021</v>
      </c>
      <c r="O161" s="51">
        <f t="shared" si="49"/>
        <v>62.334806529240012</v>
      </c>
      <c r="P161" s="51">
        <f t="shared" si="49"/>
        <v>64.828198790409573</v>
      </c>
      <c r="Q161" s="51">
        <f t="shared" si="49"/>
        <v>67.421326742026011</v>
      </c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>
        <f>J204</f>
        <v>-2.75</v>
      </c>
      <c r="K163" s="82">
        <f t="shared" ref="K163:Q163" si="50">K204</f>
        <v>-2.75</v>
      </c>
      <c r="L163" s="82">
        <f t="shared" si="50"/>
        <v>-2.75</v>
      </c>
      <c r="M163" s="82">
        <f t="shared" si="50"/>
        <v>-2.75</v>
      </c>
      <c r="N163" s="82">
        <f t="shared" si="50"/>
        <v>-2.75</v>
      </c>
      <c r="O163" s="82">
        <f t="shared" si="50"/>
        <v>-2.75</v>
      </c>
      <c r="P163" s="82">
        <f t="shared" si="50"/>
        <v>0</v>
      </c>
      <c r="Q163" s="82">
        <f t="shared" si="50"/>
        <v>0</v>
      </c>
    </row>
    <row r="164" spans="1:24" x14ac:dyDescent="0.2">
      <c r="B164" s="20" t="s">
        <v>136</v>
      </c>
      <c r="J164" s="50">
        <f>J213</f>
        <v>-44.172500000000035</v>
      </c>
      <c r="K164" s="50">
        <f t="shared" ref="K164:Q164" si="51">K213</f>
        <v>-46.407849999999975</v>
      </c>
      <c r="L164" s="50">
        <f t="shared" si="51"/>
        <v>-49.23989950000005</v>
      </c>
      <c r="M164" s="50">
        <f t="shared" si="51"/>
        <v>-53.004833469999959</v>
      </c>
      <c r="N164" s="50">
        <f t="shared" si="51"/>
        <v>-56.483302943500021</v>
      </c>
      <c r="O164" s="50">
        <f t="shared" si="51"/>
        <v>-59.584806529240012</v>
      </c>
      <c r="P164" s="50">
        <f t="shared" si="51"/>
        <v>-64.828198790409573</v>
      </c>
      <c r="Q164" s="50">
        <f t="shared" si="51"/>
        <v>-67.421326742026011</v>
      </c>
    </row>
    <row r="165" spans="1:24" x14ac:dyDescent="0.2">
      <c r="B165" s="20"/>
    </row>
    <row r="166" spans="1:24" x14ac:dyDescent="0.2">
      <c r="B166" s="20" t="s">
        <v>143</v>
      </c>
      <c r="J166" s="49">
        <f>-J160</f>
        <v>5</v>
      </c>
      <c r="K166" s="49">
        <f t="shared" ref="K166:Q166" si="52">-K160</f>
        <v>5</v>
      </c>
      <c r="L166" s="49">
        <f t="shared" si="52"/>
        <v>5</v>
      </c>
      <c r="M166" s="49">
        <f t="shared" si="52"/>
        <v>5</v>
      </c>
      <c r="N166" s="49">
        <f t="shared" si="52"/>
        <v>5</v>
      </c>
      <c r="O166" s="49">
        <f t="shared" si="52"/>
        <v>5</v>
      </c>
      <c r="P166" s="49">
        <f t="shared" si="52"/>
        <v>5</v>
      </c>
      <c r="Q166" s="49">
        <f t="shared" si="52"/>
        <v>5</v>
      </c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>SUM(J166,J163:J164,J161)</f>
        <v>5</v>
      </c>
      <c r="K167" s="51">
        <f t="shared" ref="K167:Q167" si="53">SUM(K166,K163:K164,K161)</f>
        <v>5</v>
      </c>
      <c r="L167" s="51">
        <f t="shared" si="53"/>
        <v>5</v>
      </c>
      <c r="M167" s="51">
        <f t="shared" si="53"/>
        <v>5</v>
      </c>
      <c r="N167" s="51">
        <f t="shared" si="53"/>
        <v>5</v>
      </c>
      <c r="O167" s="51">
        <f t="shared" si="53"/>
        <v>5</v>
      </c>
      <c r="P167" s="51">
        <f t="shared" si="53"/>
        <v>5</v>
      </c>
      <c r="Q167" s="51">
        <f t="shared" si="53"/>
        <v>5</v>
      </c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>IF($H$38=1,AVERAGE(J158,J167),J158)</f>
        <v>5</v>
      </c>
      <c r="K170" s="82">
        <f t="shared" ref="K170:Q170" si="54">IF($H$38=1,AVERAGE(K158,K167),K158)</f>
        <v>5</v>
      </c>
      <c r="L170" s="82">
        <f t="shared" si="54"/>
        <v>5</v>
      </c>
      <c r="M170" s="82">
        <f t="shared" si="54"/>
        <v>5</v>
      </c>
      <c r="N170" s="82">
        <f t="shared" si="54"/>
        <v>5</v>
      </c>
      <c r="O170" s="82">
        <f t="shared" si="54"/>
        <v>5</v>
      </c>
      <c r="P170" s="82">
        <f t="shared" si="54"/>
        <v>5</v>
      </c>
      <c r="Q170" s="82">
        <f t="shared" si="54"/>
        <v>5</v>
      </c>
    </row>
    <row r="171" spans="1:24" x14ac:dyDescent="0.2">
      <c r="B171" s="20" t="s">
        <v>145</v>
      </c>
      <c r="G171" s="99">
        <f>H35</f>
        <v>2.5000000000000001E-3</v>
      </c>
      <c r="J171" s="50">
        <f>$G171*J170</f>
        <v>1.2500000000000001E-2</v>
      </c>
      <c r="K171" s="50">
        <f t="shared" ref="K171:Q171" si="55">$G171*K170</f>
        <v>1.2500000000000001E-2</v>
      </c>
      <c r="L171" s="50">
        <f t="shared" si="55"/>
        <v>1.2500000000000001E-2</v>
      </c>
      <c r="M171" s="50">
        <f t="shared" si="55"/>
        <v>1.2500000000000001E-2</v>
      </c>
      <c r="N171" s="50">
        <f t="shared" si="55"/>
        <v>1.2500000000000001E-2</v>
      </c>
      <c r="O171" s="50">
        <f t="shared" si="55"/>
        <v>1.2500000000000001E-2</v>
      </c>
      <c r="P171" s="50">
        <f t="shared" si="55"/>
        <v>1.2500000000000001E-2</v>
      </c>
      <c r="Q171" s="50">
        <f t="shared" si="55"/>
        <v>1.2500000000000001E-2</v>
      </c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56">J$116</f>
        <v>43100</v>
      </c>
      <c r="K177" s="54">
        <f t="shared" si="56"/>
        <v>43465</v>
      </c>
      <c r="L177" s="54">
        <f t="shared" si="56"/>
        <v>43830</v>
      </c>
      <c r="M177" s="54">
        <f t="shared" si="56"/>
        <v>44196</v>
      </c>
      <c r="N177" s="54">
        <f t="shared" si="56"/>
        <v>44561</v>
      </c>
      <c r="O177" s="54">
        <f t="shared" si="56"/>
        <v>44926</v>
      </c>
      <c r="P177" s="54">
        <f t="shared" si="56"/>
        <v>45291</v>
      </c>
      <c r="Q177" s="54">
        <f t="shared" si="56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>
        <f>G11</f>
        <v>0</v>
      </c>
      <c r="J181" s="82">
        <f>MAX(0,I181+J200+J209)</f>
        <v>0</v>
      </c>
      <c r="K181" s="82">
        <f t="shared" ref="K181:Q181" si="57">MAX(0,J181+K200+K209)</f>
        <v>0</v>
      </c>
      <c r="L181" s="82">
        <f t="shared" si="57"/>
        <v>0</v>
      </c>
      <c r="M181" s="82">
        <f t="shared" si="57"/>
        <v>0</v>
      </c>
      <c r="N181" s="82">
        <f t="shared" si="57"/>
        <v>0</v>
      </c>
      <c r="O181" s="82">
        <f t="shared" si="57"/>
        <v>0</v>
      </c>
      <c r="P181" s="82">
        <f t="shared" si="57"/>
        <v>0</v>
      </c>
      <c r="Q181" s="82">
        <f t="shared" si="57"/>
        <v>0</v>
      </c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>
        <f t="shared" ref="I182:I184" si="58">G12</f>
        <v>275</v>
      </c>
      <c r="J182" s="72">
        <f t="shared" ref="J182:Q184" si="59">MAX(0,I182+J201+J210)</f>
        <v>228.07749999999996</v>
      </c>
      <c r="K182" s="72">
        <f t="shared" si="59"/>
        <v>178.91964999999999</v>
      </c>
      <c r="L182" s="72">
        <f t="shared" si="59"/>
        <v>126.92975049999994</v>
      </c>
      <c r="M182" s="72">
        <f t="shared" si="59"/>
        <v>71.174917029999989</v>
      </c>
      <c r="N182" s="72">
        <f t="shared" si="59"/>
        <v>11.941614086499968</v>
      </c>
      <c r="O182" s="72">
        <f t="shared" si="59"/>
        <v>0</v>
      </c>
      <c r="P182" s="72">
        <f t="shared" si="59"/>
        <v>0</v>
      </c>
      <c r="Q182" s="72">
        <f t="shared" si="59"/>
        <v>0</v>
      </c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>
        <f t="shared" si="58"/>
        <v>225</v>
      </c>
      <c r="J183" s="72">
        <f t="shared" si="59"/>
        <v>225</v>
      </c>
      <c r="K183" s="72">
        <f t="shared" si="59"/>
        <v>225</v>
      </c>
      <c r="L183" s="72">
        <f t="shared" si="59"/>
        <v>225</v>
      </c>
      <c r="M183" s="72">
        <f t="shared" si="59"/>
        <v>225</v>
      </c>
      <c r="N183" s="72">
        <f t="shared" si="59"/>
        <v>225</v>
      </c>
      <c r="O183" s="72">
        <f t="shared" si="59"/>
        <v>174.60680755725997</v>
      </c>
      <c r="P183" s="72">
        <f t="shared" si="59"/>
        <v>109.7786087668504</v>
      </c>
      <c r="Q183" s="72">
        <f t="shared" si="59"/>
        <v>42.357282024824386</v>
      </c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>
        <f t="shared" si="58"/>
        <v>100</v>
      </c>
      <c r="J184" s="73">
        <f t="shared" si="59"/>
        <v>100</v>
      </c>
      <c r="K184" s="73">
        <f t="shared" si="59"/>
        <v>100</v>
      </c>
      <c r="L184" s="73">
        <f t="shared" si="59"/>
        <v>100</v>
      </c>
      <c r="M184" s="73">
        <f t="shared" si="59"/>
        <v>100</v>
      </c>
      <c r="N184" s="73">
        <f t="shared" si="59"/>
        <v>100</v>
      </c>
      <c r="O184" s="73">
        <f t="shared" si="59"/>
        <v>100</v>
      </c>
      <c r="P184" s="73">
        <f t="shared" si="59"/>
        <v>100</v>
      </c>
      <c r="Q184" s="73">
        <f t="shared" si="59"/>
        <v>100</v>
      </c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>
        <f>SUM(I181:I184)</f>
        <v>600</v>
      </c>
      <c r="J185" s="51">
        <f t="shared" ref="J185:Q185" si="60">SUM(J181:J184)</f>
        <v>553.07749999999999</v>
      </c>
      <c r="K185" s="51">
        <f t="shared" si="60"/>
        <v>503.91964999999999</v>
      </c>
      <c r="L185" s="51">
        <f t="shared" si="60"/>
        <v>451.92975049999995</v>
      </c>
      <c r="M185" s="51">
        <f t="shared" si="60"/>
        <v>396.17491702999996</v>
      </c>
      <c r="N185" s="51">
        <f t="shared" si="60"/>
        <v>336.94161408649995</v>
      </c>
      <c r="O185" s="51">
        <f t="shared" si="60"/>
        <v>274.60680755725997</v>
      </c>
      <c r="P185" s="51">
        <f t="shared" si="60"/>
        <v>209.7786087668504</v>
      </c>
      <c r="Q185" s="51">
        <f t="shared" si="60"/>
        <v>142.35728202482437</v>
      </c>
    </row>
    <row r="186" spans="2:17" x14ac:dyDescent="0.2">
      <c r="C186" s="8" t="s">
        <v>168</v>
      </c>
      <c r="J186" s="57">
        <f>IFERROR(J185/$I185,0)</f>
        <v>0.92179583333333326</v>
      </c>
      <c r="K186" s="57">
        <f t="shared" ref="K186:Q186" si="61">IFERROR(K185/$I185,0)</f>
        <v>0.83986608333333335</v>
      </c>
      <c r="L186" s="57">
        <f t="shared" si="61"/>
        <v>0.75321625083333321</v>
      </c>
      <c r="M186" s="57">
        <f t="shared" si="61"/>
        <v>0.66029152838333327</v>
      </c>
      <c r="N186" s="57">
        <f t="shared" si="61"/>
        <v>0.56156935681083331</v>
      </c>
      <c r="O186" s="57">
        <f t="shared" si="61"/>
        <v>0.45767801259543328</v>
      </c>
      <c r="P186" s="57">
        <f t="shared" si="61"/>
        <v>0.34963101461141732</v>
      </c>
      <c r="Q186" s="57">
        <f t="shared" si="61"/>
        <v>0.23726213670804061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>
        <f>MAX(0,$G189-I181)</f>
        <v>100</v>
      </c>
      <c r="J189" s="101">
        <f t="shared" ref="J189:Q189" si="62">MAX(0,$G189-J181)</f>
        <v>100</v>
      </c>
      <c r="K189" s="101">
        <f t="shared" si="62"/>
        <v>100</v>
      </c>
      <c r="L189" s="101">
        <f t="shared" si="62"/>
        <v>100</v>
      </c>
      <c r="M189" s="101">
        <f t="shared" si="62"/>
        <v>100</v>
      </c>
      <c r="N189" s="101">
        <f t="shared" si="62"/>
        <v>100</v>
      </c>
      <c r="O189" s="101">
        <f t="shared" si="62"/>
        <v>100</v>
      </c>
      <c r="P189" s="101">
        <f t="shared" si="62"/>
        <v>100</v>
      </c>
      <c r="Q189" s="101">
        <f t="shared" si="62"/>
        <v>100</v>
      </c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>
        <f>J161</f>
        <v>46.922500000000035</v>
      </c>
      <c r="K191" s="102">
        <f t="shared" ref="K191:Q191" si="63">K161</f>
        <v>49.157849999999975</v>
      </c>
      <c r="L191" s="102">
        <f t="shared" si="63"/>
        <v>51.98989950000005</v>
      </c>
      <c r="M191" s="102">
        <f t="shared" si="63"/>
        <v>55.754833469999959</v>
      </c>
      <c r="N191" s="102">
        <f t="shared" si="63"/>
        <v>59.233302943500021</v>
      </c>
      <c r="O191" s="102">
        <f t="shared" si="63"/>
        <v>62.334806529240012</v>
      </c>
      <c r="P191" s="102">
        <f t="shared" si="63"/>
        <v>64.828198790409573</v>
      </c>
      <c r="Q191" s="102">
        <f t="shared" si="63"/>
        <v>67.421326742026011</v>
      </c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64">K194</f>
        <v>0</v>
      </c>
      <c r="M194" s="61">
        <f t="shared" si="64"/>
        <v>0</v>
      </c>
      <c r="N194" s="61">
        <f t="shared" si="64"/>
        <v>0</v>
      </c>
      <c r="O194" s="61">
        <f t="shared" si="64"/>
        <v>0</v>
      </c>
      <c r="P194" s="61">
        <f t="shared" si="64"/>
        <v>0</v>
      </c>
      <c r="Q194" s="61">
        <f t="shared" si="64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65">J195</f>
        <v>0.01</v>
      </c>
      <c r="L195" s="62">
        <f t="shared" si="65"/>
        <v>0.01</v>
      </c>
      <c r="M195" s="62">
        <f t="shared" si="65"/>
        <v>0.01</v>
      </c>
      <c r="N195" s="62">
        <f t="shared" si="65"/>
        <v>0.01</v>
      </c>
      <c r="O195" s="62">
        <f t="shared" si="65"/>
        <v>0.01</v>
      </c>
      <c r="P195" s="62">
        <f t="shared" si="65"/>
        <v>0.01</v>
      </c>
      <c r="Q195" s="62">
        <f t="shared" si="65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65"/>
        <v>0</v>
      </c>
      <c r="L196" s="62">
        <f t="shared" si="65"/>
        <v>0</v>
      </c>
      <c r="M196" s="62">
        <f t="shared" si="65"/>
        <v>0</v>
      </c>
      <c r="N196" s="62">
        <f t="shared" si="65"/>
        <v>0</v>
      </c>
      <c r="O196" s="62">
        <f t="shared" si="65"/>
        <v>0</v>
      </c>
      <c r="P196" s="62">
        <f t="shared" si="65"/>
        <v>0</v>
      </c>
      <c r="Q196" s="62">
        <f t="shared" si="65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65"/>
        <v>0</v>
      </c>
      <c r="L197" s="76">
        <f t="shared" si="65"/>
        <v>0</v>
      </c>
      <c r="M197" s="76">
        <f t="shared" si="65"/>
        <v>0</v>
      </c>
      <c r="N197" s="76">
        <f t="shared" si="65"/>
        <v>0</v>
      </c>
      <c r="O197" s="76">
        <f t="shared" si="65"/>
        <v>0</v>
      </c>
      <c r="P197" s="76">
        <f t="shared" si="65"/>
        <v>0</v>
      </c>
      <c r="Q197" s="76">
        <f t="shared" si="65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>
        <f>-MAX(0,MIN(J194*$I181,I181))</f>
        <v>0</v>
      </c>
      <c r="K200" s="82">
        <f t="shared" ref="K200:Q200" si="66">-MAX(0,MIN(K194*$I181,J181))</f>
        <v>0</v>
      </c>
      <c r="L200" s="82">
        <f t="shared" si="66"/>
        <v>0</v>
      </c>
      <c r="M200" s="82">
        <f t="shared" si="66"/>
        <v>0</v>
      </c>
      <c r="N200" s="82">
        <f t="shared" si="66"/>
        <v>0</v>
      </c>
      <c r="O200" s="82">
        <f t="shared" si="66"/>
        <v>0</v>
      </c>
      <c r="P200" s="82">
        <f t="shared" si="66"/>
        <v>0</v>
      </c>
      <c r="Q200" s="82">
        <f t="shared" si="66"/>
        <v>0</v>
      </c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>
        <f t="shared" ref="J201:Q203" si="67">-MAX(0,MIN(J195*$I182,I182))</f>
        <v>-2.75</v>
      </c>
      <c r="K201" s="72">
        <f t="shared" si="67"/>
        <v>-2.75</v>
      </c>
      <c r="L201" s="72">
        <f t="shared" si="67"/>
        <v>-2.75</v>
      </c>
      <c r="M201" s="72">
        <f t="shared" si="67"/>
        <v>-2.75</v>
      </c>
      <c r="N201" s="72">
        <f t="shared" si="67"/>
        <v>-2.75</v>
      </c>
      <c r="O201" s="72">
        <f t="shared" si="67"/>
        <v>-2.75</v>
      </c>
      <c r="P201" s="72">
        <f t="shared" si="67"/>
        <v>0</v>
      </c>
      <c r="Q201" s="72">
        <f t="shared" si="67"/>
        <v>0</v>
      </c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>
        <f t="shared" si="67"/>
        <v>0</v>
      </c>
      <c r="K202" s="72">
        <f t="shared" si="67"/>
        <v>0</v>
      </c>
      <c r="L202" s="72">
        <f t="shared" si="67"/>
        <v>0</v>
      </c>
      <c r="M202" s="72">
        <f t="shared" si="67"/>
        <v>0</v>
      </c>
      <c r="N202" s="72">
        <f t="shared" si="67"/>
        <v>0</v>
      </c>
      <c r="O202" s="72">
        <f t="shared" si="67"/>
        <v>0</v>
      </c>
      <c r="P202" s="72">
        <f t="shared" si="67"/>
        <v>0</v>
      </c>
      <c r="Q202" s="72">
        <f t="shared" si="67"/>
        <v>0</v>
      </c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>
        <f t="shared" si="67"/>
        <v>0</v>
      </c>
      <c r="K203" s="73">
        <f t="shared" si="67"/>
        <v>0</v>
      </c>
      <c r="L203" s="73">
        <f t="shared" si="67"/>
        <v>0</v>
      </c>
      <c r="M203" s="73">
        <f t="shared" si="67"/>
        <v>0</v>
      </c>
      <c r="N203" s="73">
        <f t="shared" si="67"/>
        <v>0</v>
      </c>
      <c r="O203" s="73">
        <f t="shared" si="67"/>
        <v>0</v>
      </c>
      <c r="P203" s="73">
        <f t="shared" si="67"/>
        <v>0</v>
      </c>
      <c r="Q203" s="73">
        <f t="shared" si="67"/>
        <v>0</v>
      </c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>
        <f>SUM(J200:J203)</f>
        <v>-2.75</v>
      </c>
      <c r="K204" s="51">
        <f t="shared" ref="K204:Q204" si="68">SUM(K200:K203)</f>
        <v>-2.75</v>
      </c>
      <c r="L204" s="51">
        <f t="shared" si="68"/>
        <v>-2.75</v>
      </c>
      <c r="M204" s="51">
        <f t="shared" si="68"/>
        <v>-2.75</v>
      </c>
      <c r="N204" s="51">
        <f t="shared" si="68"/>
        <v>-2.75</v>
      </c>
      <c r="O204" s="51">
        <f t="shared" si="68"/>
        <v>-2.75</v>
      </c>
      <c r="P204" s="51">
        <f t="shared" si="68"/>
        <v>0</v>
      </c>
      <c r="Q204" s="51">
        <f t="shared" si="68"/>
        <v>0</v>
      </c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>
        <f>J204+J191</f>
        <v>44.172500000000035</v>
      </c>
      <c r="K206" s="102">
        <f t="shared" ref="K206:Q206" si="69">K204+K191</f>
        <v>46.407849999999975</v>
      </c>
      <c r="L206" s="102">
        <f t="shared" si="69"/>
        <v>49.23989950000005</v>
      </c>
      <c r="M206" s="102">
        <f t="shared" si="69"/>
        <v>53.004833469999959</v>
      </c>
      <c r="N206" s="102">
        <f t="shared" si="69"/>
        <v>56.483302943500021</v>
      </c>
      <c r="O206" s="102">
        <f t="shared" si="69"/>
        <v>59.584806529240012</v>
      </c>
      <c r="P206" s="102">
        <f t="shared" si="69"/>
        <v>64.828198790409573</v>
      </c>
      <c r="Q206" s="102">
        <f t="shared" si="69"/>
        <v>67.421326742026011</v>
      </c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>
        <f t="shared" ref="J209:Q209" si="70">IF(J206&gt;0,-MAX(0,MIN(J206,I181)),-MIN(0,J206))</f>
        <v>0</v>
      </c>
      <c r="K209" s="82">
        <f t="shared" si="70"/>
        <v>0</v>
      </c>
      <c r="L209" s="82">
        <f t="shared" si="70"/>
        <v>0</v>
      </c>
      <c r="M209" s="82">
        <f t="shared" si="70"/>
        <v>0</v>
      </c>
      <c r="N209" s="82">
        <f t="shared" si="70"/>
        <v>0</v>
      </c>
      <c r="O209" s="82">
        <f t="shared" si="70"/>
        <v>0</v>
      </c>
      <c r="P209" s="82">
        <f t="shared" si="70"/>
        <v>0</v>
      </c>
      <c r="Q209" s="82">
        <f t="shared" si="70"/>
        <v>0</v>
      </c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>
        <f>-MAX(0,MIN(SUM(J$206,J$209:J209),I182+J201))</f>
        <v>-44.172500000000035</v>
      </c>
      <c r="K210" s="72">
        <f>-MAX(0,MIN(SUM(K$206,K$209:K209),J182+K201))</f>
        <v>-46.407849999999975</v>
      </c>
      <c r="L210" s="72">
        <f>-MAX(0,MIN(SUM(L$206,L$209:L209),K182+L201))</f>
        <v>-49.23989950000005</v>
      </c>
      <c r="M210" s="72">
        <f>-MAX(0,MIN(SUM(M$206,M$209:M209),L182+M201))</f>
        <v>-53.004833469999959</v>
      </c>
      <c r="N210" s="72">
        <f>-MAX(0,MIN(SUM(N$206,N$209:N209),M182+N201))</f>
        <v>-56.483302943500021</v>
      </c>
      <c r="O210" s="72">
        <f>-MAX(0,MIN(SUM(O$206,O$209:O209),N182+O201))</f>
        <v>-9.1916140864999676</v>
      </c>
      <c r="P210" s="72">
        <f>-MAX(0,MIN(SUM(P$206,P$209:P209),O182+P201))</f>
        <v>0</v>
      </c>
      <c r="Q210" s="72">
        <f>-MAX(0,MIN(SUM(Q$206,Q$209:Q209),P182+Q201))</f>
        <v>0</v>
      </c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>
        <f>-MAX(0,MIN(SUM(J$206,J$209:J210),I183+J202))</f>
        <v>0</v>
      </c>
      <c r="K211" s="72">
        <f>-MAX(0,MIN(SUM(K$206,K$209:K210),J183+K202))</f>
        <v>0</v>
      </c>
      <c r="L211" s="72">
        <f>-MAX(0,MIN(SUM(L$206,L$209:L210),K183+L202))</f>
        <v>0</v>
      </c>
      <c r="M211" s="72">
        <f>-MAX(0,MIN(SUM(M$206,M$209:M210),L183+M202))</f>
        <v>0</v>
      </c>
      <c r="N211" s="72">
        <f>-MAX(0,MIN(SUM(N$206,N$209:N210),M183+N202))</f>
        <v>0</v>
      </c>
      <c r="O211" s="72">
        <f>-MAX(0,MIN(SUM(O$206,O$209:O210),N183+O202))</f>
        <v>-50.393192442740045</v>
      </c>
      <c r="P211" s="72">
        <f>-MAX(0,MIN(SUM(P$206,P$209:P210),O183+P202))</f>
        <v>-64.828198790409573</v>
      </c>
      <c r="Q211" s="72">
        <f>-MAX(0,MIN(SUM(Q$206,Q$209:Q210),P183+Q202))</f>
        <v>-67.421326742026011</v>
      </c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>
        <f>-MAX(0,MIN(SUM(J$206,J$209:J211),I184+J203))</f>
        <v>0</v>
      </c>
      <c r="K212" s="72">
        <f>-MAX(0,MIN(SUM(K$206,K$209:K211),J184+K203))</f>
        <v>0</v>
      </c>
      <c r="L212" s="72">
        <f>-MAX(0,MIN(SUM(L$206,L$209:L211),K184+L203))</f>
        <v>0</v>
      </c>
      <c r="M212" s="72">
        <f>-MAX(0,MIN(SUM(M$206,M$209:M211),L184+M203))</f>
        <v>0</v>
      </c>
      <c r="N212" s="72">
        <f>-MAX(0,MIN(SUM(N$206,N$209:N211),M184+N203))</f>
        <v>0</v>
      </c>
      <c r="O212" s="72">
        <f>-MAX(0,MIN(SUM(O$206,O$209:O211),N184+O203))</f>
        <v>0</v>
      </c>
      <c r="P212" s="72">
        <f>-MAX(0,MIN(SUM(P$206,P$209:P211),O184+P203))</f>
        <v>0</v>
      </c>
      <c r="Q212" s="72">
        <f>-MAX(0,MIN(SUM(Q$206,Q$209:Q211),P184+Q203))</f>
        <v>0</v>
      </c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>
        <f>SUM(J209:J212)</f>
        <v>-44.172500000000035</v>
      </c>
      <c r="K213" s="51">
        <f t="shared" ref="K213:Q213" si="71">SUM(K209:K212)</f>
        <v>-46.407849999999975</v>
      </c>
      <c r="L213" s="51">
        <f t="shared" si="71"/>
        <v>-49.23989950000005</v>
      </c>
      <c r="M213" s="51">
        <f t="shared" si="71"/>
        <v>-53.004833469999959</v>
      </c>
      <c r="N213" s="51">
        <f t="shared" si="71"/>
        <v>-56.483302943500021</v>
      </c>
      <c r="O213" s="51">
        <f t="shared" si="71"/>
        <v>-59.584806529240012</v>
      </c>
      <c r="P213" s="51">
        <f t="shared" si="71"/>
        <v>-64.828198790409573</v>
      </c>
      <c r="Q213" s="51">
        <f t="shared" si="71"/>
        <v>-67.421326742026011</v>
      </c>
    </row>
    <row r="214" spans="1:24" x14ac:dyDescent="0.2">
      <c r="H214" s="3" t="s">
        <v>185</v>
      </c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72">J$116</f>
        <v>43100</v>
      </c>
      <c r="K219" s="54">
        <f t="shared" si="72"/>
        <v>43465</v>
      </c>
      <c r="L219" s="54">
        <f t="shared" si="72"/>
        <v>43830</v>
      </c>
      <c r="M219" s="54">
        <f t="shared" si="72"/>
        <v>44196</v>
      </c>
      <c r="N219" s="54">
        <f t="shared" si="72"/>
        <v>44561</v>
      </c>
      <c r="O219" s="54">
        <f t="shared" si="72"/>
        <v>44926</v>
      </c>
      <c r="P219" s="54">
        <f t="shared" si="72"/>
        <v>45291</v>
      </c>
      <c r="Q219" s="54">
        <f t="shared" si="72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>
        <f>IF($H$38=1,AVERAGE(I189:J189),I189)</f>
        <v>100</v>
      </c>
      <c r="K225" s="82">
        <f t="shared" ref="K225:Q225" si="73">IF($H$38=1,AVERAGE(J189:K189),J189)</f>
        <v>100</v>
      </c>
      <c r="L225" s="82">
        <f t="shared" si="73"/>
        <v>100</v>
      </c>
      <c r="M225" s="82">
        <f t="shared" si="73"/>
        <v>100</v>
      </c>
      <c r="N225" s="82">
        <f t="shared" si="73"/>
        <v>100</v>
      </c>
      <c r="O225" s="82">
        <f t="shared" si="73"/>
        <v>100</v>
      </c>
      <c r="P225" s="82">
        <f t="shared" si="73"/>
        <v>100</v>
      </c>
      <c r="Q225" s="82">
        <f t="shared" si="73"/>
        <v>100</v>
      </c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>
        <f>IF($H$38=1,AVERAGE(I181:J181),I181)</f>
        <v>0</v>
      </c>
      <c r="K226" s="72">
        <f t="shared" ref="K226:Q226" si="74">IF($H$38=1,AVERAGE(J181:K181),J181)</f>
        <v>0</v>
      </c>
      <c r="L226" s="72">
        <f t="shared" si="74"/>
        <v>0</v>
      </c>
      <c r="M226" s="72">
        <f t="shared" si="74"/>
        <v>0</v>
      </c>
      <c r="N226" s="72">
        <f t="shared" si="74"/>
        <v>0</v>
      </c>
      <c r="O226" s="72">
        <f t="shared" si="74"/>
        <v>0</v>
      </c>
      <c r="P226" s="72">
        <f t="shared" si="74"/>
        <v>0</v>
      </c>
      <c r="Q226" s="72">
        <f t="shared" si="74"/>
        <v>0</v>
      </c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>
        <f t="shared" ref="J227:Q228" si="75">IF($H$38=1,AVERAGE(I182:J182),I182)</f>
        <v>251.53874999999999</v>
      </c>
      <c r="K227" s="72">
        <f t="shared" si="75"/>
        <v>203.49857499999996</v>
      </c>
      <c r="L227" s="72">
        <f t="shared" si="75"/>
        <v>152.92470024999997</v>
      </c>
      <c r="M227" s="72">
        <f t="shared" si="75"/>
        <v>99.052333764999958</v>
      </c>
      <c r="N227" s="72">
        <f t="shared" si="75"/>
        <v>41.558265558249978</v>
      </c>
      <c r="O227" s="72">
        <f t="shared" si="75"/>
        <v>5.9708070432499838</v>
      </c>
      <c r="P227" s="72">
        <f t="shared" si="75"/>
        <v>0</v>
      </c>
      <c r="Q227" s="72">
        <f t="shared" si="75"/>
        <v>0</v>
      </c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>
        <f t="shared" si="75"/>
        <v>225</v>
      </c>
      <c r="K228" s="72">
        <f t="shared" si="75"/>
        <v>225</v>
      </c>
      <c r="L228" s="72">
        <f t="shared" si="75"/>
        <v>225</v>
      </c>
      <c r="M228" s="72">
        <f t="shared" si="75"/>
        <v>225</v>
      </c>
      <c r="N228" s="72">
        <f t="shared" si="75"/>
        <v>225</v>
      </c>
      <c r="O228" s="72">
        <f t="shared" si="75"/>
        <v>199.80340377862998</v>
      </c>
      <c r="P228" s="72">
        <f t="shared" si="75"/>
        <v>142.19270816205517</v>
      </c>
      <c r="Q228" s="72">
        <f t="shared" si="75"/>
        <v>76.067945395837398</v>
      </c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>
        <f>IF($H$38=1,AVERAGE(I184:J184),I184)</f>
        <v>100</v>
      </c>
      <c r="K229" s="73">
        <f t="shared" ref="K229:Q229" si="76">IF($H$38=1,AVERAGE(J184:K184),J184)</f>
        <v>100</v>
      </c>
      <c r="L229" s="73">
        <f t="shared" si="76"/>
        <v>100</v>
      </c>
      <c r="M229" s="73">
        <f t="shared" si="76"/>
        <v>100</v>
      </c>
      <c r="N229" s="73">
        <f t="shared" si="76"/>
        <v>100</v>
      </c>
      <c r="O229" s="73">
        <f t="shared" si="76"/>
        <v>100</v>
      </c>
      <c r="P229" s="73">
        <f t="shared" si="76"/>
        <v>100</v>
      </c>
      <c r="Q229" s="73">
        <f t="shared" si="76"/>
        <v>100</v>
      </c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>
        <f>IF($G232=1,J$222,0)+$H232</f>
        <v>3.5000000000000001E-3</v>
      </c>
      <c r="K232" s="108">
        <f t="shared" ref="K232:Q236" si="77">IF($G232=1,K$222,0)+$H232</f>
        <v>3.5000000000000001E-3</v>
      </c>
      <c r="L232" s="108">
        <f t="shared" si="77"/>
        <v>3.5000000000000001E-3</v>
      </c>
      <c r="M232" s="108">
        <f t="shared" si="77"/>
        <v>3.5000000000000001E-3</v>
      </c>
      <c r="N232" s="108">
        <f t="shared" si="77"/>
        <v>3.5000000000000001E-3</v>
      </c>
      <c r="O232" s="108">
        <f t="shared" si="77"/>
        <v>3.5000000000000001E-3</v>
      </c>
      <c r="P232" s="108">
        <f t="shared" si="77"/>
        <v>3.5000000000000001E-3</v>
      </c>
      <c r="Q232" s="108">
        <f t="shared" si="77"/>
        <v>3.5000000000000001E-3</v>
      </c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78">S10</f>
        <v>1</v>
      </c>
      <c r="H233" s="110">
        <f t="shared" si="78"/>
        <v>0.02</v>
      </c>
      <c r="I233" s="16"/>
      <c r="J233" s="111">
        <f t="shared" ref="J233:J236" si="79">IF($G233=1,J$222,0)+$H233</f>
        <v>2.5000000000000001E-2</v>
      </c>
      <c r="K233" s="111">
        <f t="shared" si="77"/>
        <v>3.1E-2</v>
      </c>
      <c r="L233" s="111">
        <f t="shared" si="77"/>
        <v>3.5000000000000003E-2</v>
      </c>
      <c r="M233" s="111">
        <f t="shared" si="77"/>
        <v>4.1499999999999995E-2</v>
      </c>
      <c r="N233" s="111">
        <f t="shared" si="77"/>
        <v>4.4999999999999998E-2</v>
      </c>
      <c r="O233" s="111">
        <f t="shared" si="77"/>
        <v>0.05</v>
      </c>
      <c r="P233" s="111">
        <f t="shared" si="77"/>
        <v>0.05</v>
      </c>
      <c r="Q233" s="111">
        <f t="shared" si="77"/>
        <v>0.05</v>
      </c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78"/>
        <v>1</v>
      </c>
      <c r="H234" s="109">
        <f t="shared" si="78"/>
        <v>0.03</v>
      </c>
      <c r="I234" s="16"/>
      <c r="J234" s="111">
        <f t="shared" si="79"/>
        <v>3.4999999999999996E-2</v>
      </c>
      <c r="K234" s="111">
        <f t="shared" si="77"/>
        <v>4.0999999999999995E-2</v>
      </c>
      <c r="L234" s="111">
        <f t="shared" si="77"/>
        <v>4.4999999999999998E-2</v>
      </c>
      <c r="M234" s="111">
        <f t="shared" si="77"/>
        <v>5.1499999999999997E-2</v>
      </c>
      <c r="N234" s="111">
        <f t="shared" si="77"/>
        <v>5.5E-2</v>
      </c>
      <c r="O234" s="111">
        <f t="shared" si="77"/>
        <v>0.06</v>
      </c>
      <c r="P234" s="111">
        <f t="shared" si="77"/>
        <v>0.06</v>
      </c>
      <c r="Q234" s="111">
        <f t="shared" si="77"/>
        <v>0.06</v>
      </c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78"/>
        <v>0</v>
      </c>
      <c r="H235" s="111">
        <f t="shared" si="78"/>
        <v>7.0000000000000007E-2</v>
      </c>
      <c r="I235" s="16"/>
      <c r="J235" s="111">
        <f t="shared" si="79"/>
        <v>7.0000000000000007E-2</v>
      </c>
      <c r="K235" s="111">
        <f t="shared" si="77"/>
        <v>7.0000000000000007E-2</v>
      </c>
      <c r="L235" s="111">
        <f t="shared" si="77"/>
        <v>7.0000000000000007E-2</v>
      </c>
      <c r="M235" s="111">
        <f t="shared" si="77"/>
        <v>7.0000000000000007E-2</v>
      </c>
      <c r="N235" s="111">
        <f t="shared" si="77"/>
        <v>7.0000000000000007E-2</v>
      </c>
      <c r="O235" s="111">
        <f t="shared" si="77"/>
        <v>7.0000000000000007E-2</v>
      </c>
      <c r="P235" s="111">
        <f t="shared" si="77"/>
        <v>7.0000000000000007E-2</v>
      </c>
      <c r="Q235" s="111">
        <f t="shared" si="77"/>
        <v>7.0000000000000007E-2</v>
      </c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78"/>
        <v>0</v>
      </c>
      <c r="H236" s="112">
        <f t="shared" si="78"/>
        <v>8.5000000000000006E-2</v>
      </c>
      <c r="I236" s="17"/>
      <c r="J236" s="112">
        <f t="shared" si="79"/>
        <v>8.5000000000000006E-2</v>
      </c>
      <c r="K236" s="112">
        <f t="shared" si="77"/>
        <v>8.5000000000000006E-2</v>
      </c>
      <c r="L236" s="112">
        <f t="shared" si="77"/>
        <v>8.5000000000000006E-2</v>
      </c>
      <c r="M236" s="112">
        <f t="shared" si="77"/>
        <v>8.5000000000000006E-2</v>
      </c>
      <c r="N236" s="112">
        <f t="shared" si="77"/>
        <v>8.5000000000000006E-2</v>
      </c>
      <c r="O236" s="112">
        <f t="shared" si="77"/>
        <v>8.5000000000000006E-2</v>
      </c>
      <c r="P236" s="112">
        <f t="shared" si="77"/>
        <v>8.5000000000000006E-2</v>
      </c>
      <c r="Q236" s="112">
        <f t="shared" si="77"/>
        <v>8.5000000000000006E-2</v>
      </c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>
        <f>J225*J232</f>
        <v>0.35000000000000003</v>
      </c>
      <c r="K239" s="82">
        <f t="shared" ref="K239:Q239" si="80">K225*K232</f>
        <v>0.35000000000000003</v>
      </c>
      <c r="L239" s="82">
        <f t="shared" si="80"/>
        <v>0.35000000000000003</v>
      </c>
      <c r="M239" s="82">
        <f t="shared" si="80"/>
        <v>0.35000000000000003</v>
      </c>
      <c r="N239" s="82">
        <f t="shared" si="80"/>
        <v>0.35000000000000003</v>
      </c>
      <c r="O239" s="82">
        <f t="shared" si="80"/>
        <v>0.35000000000000003</v>
      </c>
      <c r="P239" s="82">
        <f t="shared" si="80"/>
        <v>0.35000000000000003</v>
      </c>
      <c r="Q239" s="82">
        <f t="shared" si="80"/>
        <v>0.35000000000000003</v>
      </c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>
        <f t="shared" ref="J240:Q240" si="81">J226*J233</f>
        <v>0</v>
      </c>
      <c r="K240" s="72">
        <f t="shared" si="81"/>
        <v>0</v>
      </c>
      <c r="L240" s="72">
        <f t="shared" si="81"/>
        <v>0</v>
      </c>
      <c r="M240" s="72">
        <f t="shared" si="81"/>
        <v>0</v>
      </c>
      <c r="N240" s="72">
        <f t="shared" si="81"/>
        <v>0</v>
      </c>
      <c r="O240" s="72">
        <f t="shared" si="81"/>
        <v>0</v>
      </c>
      <c r="P240" s="72">
        <f t="shared" si="81"/>
        <v>0</v>
      </c>
      <c r="Q240" s="72">
        <f t="shared" si="81"/>
        <v>0</v>
      </c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>
        <f t="shared" ref="J241:Q241" si="82">J227*J234</f>
        <v>8.8038562499999991</v>
      </c>
      <c r="K241" s="72">
        <f t="shared" si="82"/>
        <v>8.3434415749999982</v>
      </c>
      <c r="L241" s="72">
        <f t="shared" si="82"/>
        <v>6.8816115112499983</v>
      </c>
      <c r="M241" s="72">
        <f t="shared" si="82"/>
        <v>5.1011951888974973</v>
      </c>
      <c r="N241" s="72">
        <f t="shared" si="82"/>
        <v>2.2857046057037489</v>
      </c>
      <c r="O241" s="72">
        <f t="shared" si="82"/>
        <v>0.35824842259499901</v>
      </c>
      <c r="P241" s="72">
        <f t="shared" si="82"/>
        <v>0</v>
      </c>
      <c r="Q241" s="72">
        <f t="shared" si="82"/>
        <v>0</v>
      </c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>
        <f t="shared" ref="J242:Q242" si="83">J228*J235</f>
        <v>15.750000000000002</v>
      </c>
      <c r="K242" s="72">
        <f t="shared" si="83"/>
        <v>15.750000000000002</v>
      </c>
      <c r="L242" s="72">
        <f t="shared" si="83"/>
        <v>15.750000000000002</v>
      </c>
      <c r="M242" s="72">
        <f t="shared" si="83"/>
        <v>15.750000000000002</v>
      </c>
      <c r="N242" s="72">
        <f t="shared" si="83"/>
        <v>15.750000000000002</v>
      </c>
      <c r="O242" s="72">
        <f t="shared" si="83"/>
        <v>13.986238264504101</v>
      </c>
      <c r="P242" s="72">
        <f t="shared" si="83"/>
        <v>9.9534895713438623</v>
      </c>
      <c r="Q242" s="72">
        <f t="shared" si="83"/>
        <v>5.3247561777086183</v>
      </c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>
        <f t="shared" ref="J243:Q243" si="84">J229*J236</f>
        <v>8.5</v>
      </c>
      <c r="K243" s="73">
        <f t="shared" si="84"/>
        <v>8.5</v>
      </c>
      <c r="L243" s="73">
        <f t="shared" si="84"/>
        <v>8.5</v>
      </c>
      <c r="M243" s="73">
        <f t="shared" si="84"/>
        <v>8.5</v>
      </c>
      <c r="N243" s="73">
        <f t="shared" si="84"/>
        <v>8.5</v>
      </c>
      <c r="O243" s="73">
        <f t="shared" si="84"/>
        <v>8.5</v>
      </c>
      <c r="P243" s="73">
        <f t="shared" si="84"/>
        <v>8.5</v>
      </c>
      <c r="Q243" s="73">
        <f t="shared" si="84"/>
        <v>8.5</v>
      </c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>
        <f>SUM(J239:J243)</f>
        <v>33.403856250000004</v>
      </c>
      <c r="K244" s="51">
        <f t="shared" ref="K244:Q244" si="85">SUM(K239:K243)</f>
        <v>32.943441575000001</v>
      </c>
      <c r="L244" s="51">
        <f t="shared" si="85"/>
        <v>31.481611511250001</v>
      </c>
      <c r="M244" s="51">
        <f t="shared" si="85"/>
        <v>29.701195188897501</v>
      </c>
      <c r="N244" s="51">
        <f t="shared" si="85"/>
        <v>26.885704605703751</v>
      </c>
      <c r="O244" s="51">
        <f t="shared" si="85"/>
        <v>23.194486687099101</v>
      </c>
      <c r="P244" s="51">
        <f t="shared" si="85"/>
        <v>18.80348957134386</v>
      </c>
      <c r="Q244" s="51">
        <f t="shared" si="85"/>
        <v>14.174756177708618</v>
      </c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>
        <f>IF(YEAR(J$219)-YEAR($I$177)&gt;$G247,0,J242)</f>
        <v>0</v>
      </c>
      <c r="K247" s="82">
        <f t="shared" ref="K247:Q247" si="86">IF(YEAR(K$219)-YEAR($I$177)&gt;$G247,0,K242)</f>
        <v>0</v>
      </c>
      <c r="L247" s="82">
        <f t="shared" si="86"/>
        <v>0</v>
      </c>
      <c r="M247" s="82">
        <f t="shared" si="86"/>
        <v>0</v>
      </c>
      <c r="N247" s="82">
        <f t="shared" si="86"/>
        <v>0</v>
      </c>
      <c r="O247" s="82">
        <f t="shared" si="86"/>
        <v>0</v>
      </c>
      <c r="P247" s="82">
        <f t="shared" si="86"/>
        <v>0</v>
      </c>
      <c r="Q247" s="82">
        <f t="shared" si="86"/>
        <v>0</v>
      </c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87">V13</f>
        <v>3</v>
      </c>
      <c r="H248" s="17"/>
      <c r="I248" s="17"/>
      <c r="J248" s="73">
        <f t="shared" ref="J248:Q248" si="88">IF(YEAR(J$219)-YEAR($I$177)&gt;$G248,0,J243)</f>
        <v>8.5</v>
      </c>
      <c r="K248" s="73">
        <f t="shared" si="88"/>
        <v>8.5</v>
      </c>
      <c r="L248" s="73">
        <f t="shared" si="88"/>
        <v>8.5</v>
      </c>
      <c r="M248" s="73">
        <f t="shared" si="88"/>
        <v>0</v>
      </c>
      <c r="N248" s="73">
        <f t="shared" si="88"/>
        <v>0</v>
      </c>
      <c r="O248" s="73">
        <f t="shared" si="88"/>
        <v>0</v>
      </c>
      <c r="P248" s="73">
        <f t="shared" si="88"/>
        <v>0</v>
      </c>
      <c r="Q248" s="73">
        <f t="shared" si="88"/>
        <v>0</v>
      </c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>
        <f>SUM(J247:J248)</f>
        <v>8.5</v>
      </c>
      <c r="K249" s="51">
        <f t="shared" ref="K249:Q249" si="89">SUM(K247:K248)</f>
        <v>8.5</v>
      </c>
      <c r="L249" s="51">
        <f t="shared" si="89"/>
        <v>8.5</v>
      </c>
      <c r="M249" s="51">
        <f t="shared" si="89"/>
        <v>0</v>
      </c>
      <c r="N249" s="51">
        <f t="shared" si="89"/>
        <v>0</v>
      </c>
      <c r="O249" s="51">
        <f t="shared" si="89"/>
        <v>0</v>
      </c>
      <c r="P249" s="51">
        <f t="shared" si="89"/>
        <v>0</v>
      </c>
      <c r="Q249" s="51">
        <f t="shared" si="89"/>
        <v>0</v>
      </c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>
        <f>MAX(0, MIN($G252/$H252,$G252-SUM($I252:I252)))</f>
        <v>0.1</v>
      </c>
      <c r="K252" s="82">
        <f>MAX(0, MIN($G252/$H252,$G252-SUM($I252:J252)))</f>
        <v>0.1</v>
      </c>
      <c r="L252" s="82">
        <f>MAX(0, MIN($G252/$H252,$G252-SUM($I252:K252)))</f>
        <v>0.1</v>
      </c>
      <c r="M252" s="82">
        <f>MAX(0, MIN($G252/$H252,$G252-SUM($I252:L252)))</f>
        <v>0.1</v>
      </c>
      <c r="N252" s="82">
        <f>MAX(0, MIN($G252/$H252,$G252-SUM($I252:M252)))</f>
        <v>9.9999999999999978E-2</v>
      </c>
      <c r="O252" s="82">
        <f>MAX(0, MIN($G252/$H252,$G252-SUM($I252:N252)))</f>
        <v>0</v>
      </c>
      <c r="P252" s="82">
        <f>MAX(0, MIN($G252/$H252,$G252-SUM($I252:O252)))</f>
        <v>0</v>
      </c>
      <c r="Q252" s="82">
        <f>MAX(0, MIN($G252/$H252,$G252-SUM($I252:P252)))</f>
        <v>0</v>
      </c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>
        <f>MAX(0, MIN($G253/$H253,$G253-SUM($I253:I253)))</f>
        <v>0.57291666666666663</v>
      </c>
      <c r="K253" s="72">
        <f>MAX(0, MIN($G253/$H253,$G253-SUM($I253:J253)))</f>
        <v>0.57291666666666663</v>
      </c>
      <c r="L253" s="72">
        <f>MAX(0, MIN($G253/$H253,$G253-SUM($I253:K253)))</f>
        <v>0.57291666666666663</v>
      </c>
      <c r="M253" s="72">
        <f>MAX(0, MIN($G253/$H253,$G253-SUM($I253:L253)))</f>
        <v>0.57291666666666663</v>
      </c>
      <c r="N253" s="72">
        <f>MAX(0, MIN($G253/$H253,$G253-SUM($I253:M253)))</f>
        <v>0.57291666666666663</v>
      </c>
      <c r="O253" s="72">
        <f>MAX(0, MIN($G253/$H253,$G253-SUM($I253:N253)))</f>
        <v>0.57291666666666663</v>
      </c>
      <c r="P253" s="72">
        <f>MAX(0, MIN($G253/$H253,$G253-SUM($I253:O253)))</f>
        <v>4.4408920985006262E-16</v>
      </c>
      <c r="Q253" s="72">
        <f>MAX(0, MIN($G253/$H253,$G253-SUM($I253:P253)))</f>
        <v>0</v>
      </c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>
        <f>MAX(0, MIN($G254/$H254,$G254-SUM($I254:I254)))</f>
        <v>0.5625</v>
      </c>
      <c r="K254" s="72">
        <f>MAX(0, MIN($G254/$H254,$G254-SUM($I254:J254)))</f>
        <v>0.5625</v>
      </c>
      <c r="L254" s="72">
        <f>MAX(0, MIN($G254/$H254,$G254-SUM($I254:K254)))</f>
        <v>0.5625</v>
      </c>
      <c r="M254" s="72">
        <f>MAX(0, MIN($G254/$H254,$G254-SUM($I254:L254)))</f>
        <v>0.5625</v>
      </c>
      <c r="N254" s="72">
        <f>MAX(0, MIN($G254/$H254,$G254-SUM($I254:M254)))</f>
        <v>0.5625</v>
      </c>
      <c r="O254" s="72">
        <f>MAX(0, MIN($G254/$H254,$G254-SUM($I254:N254)))</f>
        <v>0.5625</v>
      </c>
      <c r="P254" s="72">
        <f>MAX(0, MIN($G254/$H254,$G254-SUM($I254:O254)))</f>
        <v>0.5625</v>
      </c>
      <c r="Q254" s="72">
        <f>MAX(0, MIN($G254/$H254,$G254-SUM($I254:P254)))</f>
        <v>0.5625</v>
      </c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>
        <f>MAX(0, MIN($G255/$H255,$G255-SUM($I255:I255)))</f>
        <v>0.25</v>
      </c>
      <c r="K255" s="73">
        <f>MAX(0, MIN($G255/$H255,$G255-SUM($I255:J255)))</f>
        <v>0.25</v>
      </c>
      <c r="L255" s="73">
        <f>MAX(0, MIN($G255/$H255,$G255-SUM($I255:K255)))</f>
        <v>0.25</v>
      </c>
      <c r="M255" s="73">
        <f>MAX(0, MIN($G255/$H255,$G255-SUM($I255:L255)))</f>
        <v>0.25</v>
      </c>
      <c r="N255" s="73">
        <f>MAX(0, MIN($G255/$H255,$G255-SUM($I255:M255)))</f>
        <v>0.25</v>
      </c>
      <c r="O255" s="73">
        <f>MAX(0, MIN($G255/$H255,$G255-SUM($I255:N255)))</f>
        <v>0.25</v>
      </c>
      <c r="P255" s="73">
        <f>MAX(0, MIN($G255/$H255,$G255-SUM($I255:O255)))</f>
        <v>0.25</v>
      </c>
      <c r="Q255" s="73">
        <f>MAX(0, MIN($G255/$H255,$G255-SUM($I255:P255)))</f>
        <v>0.25</v>
      </c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>
        <f>SUM(J252:J255)</f>
        <v>1.4854166666666666</v>
      </c>
      <c r="K256" s="51">
        <f t="shared" ref="K256:Q256" si="90">SUM(K252:K255)</f>
        <v>1.4854166666666666</v>
      </c>
      <c r="L256" s="51">
        <f t="shared" si="90"/>
        <v>1.4854166666666666</v>
      </c>
      <c r="M256" s="51">
        <f t="shared" si="90"/>
        <v>1.4854166666666666</v>
      </c>
      <c r="N256" s="51">
        <f t="shared" si="90"/>
        <v>1.4854166666666666</v>
      </c>
      <c r="O256" s="51">
        <f t="shared" si="90"/>
        <v>1.3854166666666665</v>
      </c>
      <c r="P256" s="51">
        <f t="shared" si="90"/>
        <v>0.81250000000000044</v>
      </c>
      <c r="Q256" s="51">
        <f t="shared" si="90"/>
        <v>0.8125</v>
      </c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>
        <f>J244</f>
        <v>33.403856250000004</v>
      </c>
      <c r="K259" s="82">
        <f t="shared" ref="K259:Q259" si="91">K244</f>
        <v>32.943441575000001</v>
      </c>
      <c r="L259" s="82">
        <f t="shared" si="91"/>
        <v>31.481611511250001</v>
      </c>
      <c r="M259" s="82">
        <f t="shared" si="91"/>
        <v>29.701195188897501</v>
      </c>
      <c r="N259" s="82">
        <f t="shared" si="91"/>
        <v>26.885704605703751</v>
      </c>
      <c r="O259" s="82">
        <f t="shared" si="91"/>
        <v>23.194486687099101</v>
      </c>
      <c r="P259" s="82">
        <f t="shared" si="91"/>
        <v>18.80348957134386</v>
      </c>
      <c r="Q259" s="82">
        <f t="shared" si="91"/>
        <v>14.174756177708618</v>
      </c>
    </row>
    <row r="260" spans="1:24" x14ac:dyDescent="0.2">
      <c r="B260" s="20" t="s">
        <v>157</v>
      </c>
      <c r="J260" s="50">
        <f>J256</f>
        <v>1.4854166666666666</v>
      </c>
      <c r="K260" s="50">
        <f t="shared" ref="K260:Q260" si="92">K256</f>
        <v>1.4854166666666666</v>
      </c>
      <c r="L260" s="50">
        <f t="shared" si="92"/>
        <v>1.4854166666666666</v>
      </c>
      <c r="M260" s="50">
        <f t="shared" si="92"/>
        <v>1.4854166666666666</v>
      </c>
      <c r="N260" s="50">
        <f t="shared" si="92"/>
        <v>1.4854166666666666</v>
      </c>
      <c r="O260" s="50">
        <f t="shared" si="92"/>
        <v>1.3854166666666665</v>
      </c>
      <c r="P260" s="50">
        <f t="shared" si="92"/>
        <v>0.81250000000000044</v>
      </c>
      <c r="Q260" s="50">
        <f t="shared" si="92"/>
        <v>0.8125</v>
      </c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>
        <f>SUM(J259:J260)</f>
        <v>34.88927291666667</v>
      </c>
      <c r="K261" s="51">
        <f t="shared" ref="K261:Q261" si="93">SUM(K259:K260)</f>
        <v>34.428858241666667</v>
      </c>
      <c r="L261" s="51">
        <f t="shared" si="93"/>
        <v>32.967028177916667</v>
      </c>
      <c r="M261" s="51">
        <f t="shared" si="93"/>
        <v>31.186611855564166</v>
      </c>
      <c r="N261" s="51">
        <f t="shared" si="93"/>
        <v>28.371121272370416</v>
      </c>
      <c r="O261" s="51">
        <f t="shared" si="93"/>
        <v>24.579903353765769</v>
      </c>
      <c r="P261" s="51">
        <f t="shared" si="93"/>
        <v>19.61598957134386</v>
      </c>
      <c r="Q261" s="51">
        <f t="shared" si="93"/>
        <v>14.987256177708618</v>
      </c>
    </row>
    <row r="262" spans="1:24" x14ac:dyDescent="0.2">
      <c r="B262" s="20" t="s">
        <v>159</v>
      </c>
      <c r="J262" s="50">
        <f>-J171</f>
        <v>-1.2500000000000001E-2</v>
      </c>
      <c r="K262" s="50">
        <f t="shared" ref="K262:Q262" si="94">-K171</f>
        <v>-1.2500000000000001E-2</v>
      </c>
      <c r="L262" s="50">
        <f t="shared" si="94"/>
        <v>-1.2500000000000001E-2</v>
      </c>
      <c r="M262" s="50">
        <f t="shared" si="94"/>
        <v>-1.2500000000000001E-2</v>
      </c>
      <c r="N262" s="50">
        <f t="shared" si="94"/>
        <v>-1.2500000000000001E-2</v>
      </c>
      <c r="O262" s="50">
        <f t="shared" si="94"/>
        <v>-1.2500000000000001E-2</v>
      </c>
      <c r="P262" s="50">
        <f t="shared" si="94"/>
        <v>-1.2500000000000001E-2</v>
      </c>
      <c r="Q262" s="50">
        <f t="shared" si="94"/>
        <v>-1.2500000000000001E-2</v>
      </c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>
        <f>SUM(J261:J262)</f>
        <v>34.876772916666667</v>
      </c>
      <c r="K263" s="51">
        <f t="shared" ref="K263:Q263" si="95">SUM(K261:K262)</f>
        <v>34.416358241666664</v>
      </c>
      <c r="L263" s="51">
        <f t="shared" si="95"/>
        <v>32.954528177916664</v>
      </c>
      <c r="M263" s="51">
        <f t="shared" si="95"/>
        <v>31.174111855564167</v>
      </c>
      <c r="N263" s="51">
        <f t="shared" si="95"/>
        <v>28.358621272370417</v>
      </c>
      <c r="O263" s="51">
        <f t="shared" si="95"/>
        <v>24.567403353765769</v>
      </c>
      <c r="P263" s="51">
        <f t="shared" si="95"/>
        <v>19.603489571343861</v>
      </c>
      <c r="Q263" s="51">
        <f t="shared" si="95"/>
        <v>14.974756177708619</v>
      </c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>
        <f>J249</f>
        <v>8.5</v>
      </c>
      <c r="K266" s="82">
        <f t="shared" ref="K266:Q266" si="96">K249</f>
        <v>8.5</v>
      </c>
      <c r="L266" s="82">
        <f t="shared" si="96"/>
        <v>8.5</v>
      </c>
      <c r="M266" s="82">
        <f t="shared" si="96"/>
        <v>0</v>
      </c>
      <c r="N266" s="82">
        <f t="shared" si="96"/>
        <v>0</v>
      </c>
      <c r="O266" s="82">
        <f t="shared" si="96"/>
        <v>0</v>
      </c>
      <c r="P266" s="82">
        <f t="shared" si="96"/>
        <v>0</v>
      </c>
      <c r="Q266" s="82">
        <f t="shared" si="96"/>
        <v>0</v>
      </c>
    </row>
    <row r="267" spans="1:24" x14ac:dyDescent="0.2">
      <c r="B267" s="20" t="s">
        <v>157</v>
      </c>
      <c r="J267" s="50">
        <f>J256</f>
        <v>1.4854166666666666</v>
      </c>
      <c r="K267" s="50">
        <f t="shared" ref="K267:Q267" si="97">K256</f>
        <v>1.4854166666666666</v>
      </c>
      <c r="L267" s="50">
        <f t="shared" si="97"/>
        <v>1.4854166666666666</v>
      </c>
      <c r="M267" s="50">
        <f t="shared" si="97"/>
        <v>1.4854166666666666</v>
      </c>
      <c r="N267" s="50">
        <f t="shared" si="97"/>
        <v>1.4854166666666666</v>
      </c>
      <c r="O267" s="50">
        <f t="shared" si="97"/>
        <v>1.3854166666666665</v>
      </c>
      <c r="P267" s="50">
        <f t="shared" si="97"/>
        <v>0.81250000000000044</v>
      </c>
      <c r="Q267" s="50">
        <f t="shared" si="97"/>
        <v>0.8125</v>
      </c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>
        <f>SUM(J266:J267)</f>
        <v>9.9854166666666657</v>
      </c>
      <c r="K268" s="51">
        <f t="shared" ref="K268:Q268" si="98">SUM(K266:K267)</f>
        <v>9.9854166666666657</v>
      </c>
      <c r="L268" s="51">
        <f t="shared" si="98"/>
        <v>9.9854166666666657</v>
      </c>
      <c r="M268" s="51">
        <f t="shared" si="98"/>
        <v>1.4854166666666666</v>
      </c>
      <c r="N268" s="51">
        <f t="shared" si="98"/>
        <v>1.4854166666666666</v>
      </c>
      <c r="O268" s="51">
        <f t="shared" si="98"/>
        <v>1.3854166666666665</v>
      </c>
      <c r="P268" s="51">
        <f t="shared" si="98"/>
        <v>0.81250000000000044</v>
      </c>
      <c r="Q268" s="51">
        <f t="shared" si="98"/>
        <v>0.8125</v>
      </c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99">J$116</f>
        <v>43100</v>
      </c>
      <c r="K275" s="54">
        <f t="shared" si="99"/>
        <v>43465</v>
      </c>
      <c r="L275" s="54">
        <f t="shared" si="99"/>
        <v>43830</v>
      </c>
      <c r="M275" s="54">
        <f t="shared" si="99"/>
        <v>44196</v>
      </c>
      <c r="N275" s="54">
        <f t="shared" si="99"/>
        <v>44561</v>
      </c>
      <c r="O275" s="54">
        <f t="shared" si="99"/>
        <v>44926</v>
      </c>
      <c r="P275" s="54">
        <f t="shared" si="99"/>
        <v>45291</v>
      </c>
      <c r="Q275" s="54">
        <f t="shared" si="99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100">I$116</f>
        <v>42735</v>
      </c>
      <c r="J303" s="54">
        <f t="shared" ref="J303:Q303" si="101">J$116</f>
        <v>43100</v>
      </c>
      <c r="K303" s="54">
        <f t="shared" si="101"/>
        <v>43465</v>
      </c>
      <c r="L303" s="54">
        <f t="shared" si="101"/>
        <v>43830</v>
      </c>
      <c r="M303" s="54">
        <f t="shared" si="101"/>
        <v>44196</v>
      </c>
      <c r="N303" s="54">
        <f t="shared" si="101"/>
        <v>44561</v>
      </c>
      <c r="O303" s="54">
        <f t="shared" si="101"/>
        <v>44926</v>
      </c>
      <c r="P303" s="54">
        <f t="shared" si="101"/>
        <v>45291</v>
      </c>
      <c r="Q303" s="54">
        <f t="shared" si="101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8652-AA32-441E-B588-5246323E3B76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201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 ca="1"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>
        <f ca="1">IF($G59=1,-J$263,0)</f>
        <v>-35.476252613359463</v>
      </c>
      <c r="K59" s="49">
        <f t="shared" ref="K59:Q59" ca="1" si="12">IF($G59=1,-K$263,0)</f>
        <v>-36.358157845385179</v>
      </c>
      <c r="L59" s="49">
        <f t="shared" ca="1" si="12"/>
        <v>-36.372698600635189</v>
      </c>
      <c r="M59" s="49">
        <f t="shared" ca="1" si="12"/>
        <v>-36.106644361103776</v>
      </c>
      <c r="N59" s="49">
        <f t="shared" ca="1" si="12"/>
        <v>-34.641392148705954</v>
      </c>
      <c r="O59" s="49">
        <f t="shared" ca="1" si="12"/>
        <v>-32.675249807673431</v>
      </c>
      <c r="P59" s="49">
        <f t="shared" ca="1" si="12"/>
        <v>-29.432608722760747</v>
      </c>
      <c r="Q59" s="49">
        <f t="shared" ca="1" si="12"/>
        <v>-26.260457929578127</v>
      </c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 ca="1">J59+J55</f>
        <v>41.173747386640542</v>
      </c>
      <c r="K60" s="51">
        <f t="shared" ref="K60:Q60" ca="1" si="13">K59+K55</f>
        <v>44.890842154614816</v>
      </c>
      <c r="L60" s="51">
        <f t="shared" ca="1" si="13"/>
        <v>50.563731399364826</v>
      </c>
      <c r="M60" s="51">
        <f t="shared" ca="1" si="13"/>
        <v>56.045971438896231</v>
      </c>
      <c r="N60" s="51">
        <f t="shared" ca="1" si="13"/>
        <v>62.118854441294054</v>
      </c>
      <c r="O60" s="51">
        <f t="shared" ca="1" si="13"/>
        <v>67.955406645926587</v>
      </c>
      <c r="P60" s="51">
        <f t="shared" ca="1" si="13"/>
        <v>75.223273988983252</v>
      </c>
      <c r="Q60" s="51">
        <f t="shared" ca="1" si="13"/>
        <v>82.581660090635651</v>
      </c>
    </row>
    <row r="61" spans="2:17" x14ac:dyDescent="0.2">
      <c r="B61" s="20"/>
    </row>
    <row r="62" spans="2:17" x14ac:dyDescent="0.2">
      <c r="B62" s="20" t="s">
        <v>96</v>
      </c>
      <c r="J62" s="49">
        <f ca="1">-J60*$H$36</f>
        <v>-14.410811585324188</v>
      </c>
      <c r="K62" s="49">
        <f t="shared" ref="K62:Q62" ca="1" si="14">-K60*$H$36</f>
        <v>-15.711794754115184</v>
      </c>
      <c r="L62" s="49">
        <f t="shared" ca="1" si="14"/>
        <v>-17.697305989777689</v>
      </c>
      <c r="M62" s="49">
        <f t="shared" ca="1" si="14"/>
        <v>-19.616090003613678</v>
      </c>
      <c r="N62" s="49">
        <f t="shared" ca="1" si="14"/>
        <v>-21.741599054452919</v>
      </c>
      <c r="O62" s="49">
        <f t="shared" ca="1" si="14"/>
        <v>-23.784392326074304</v>
      </c>
      <c r="P62" s="49">
        <f t="shared" ca="1" si="14"/>
        <v>-26.328145896144136</v>
      </c>
      <c r="Q62" s="49">
        <f t="shared" ca="1" si="14"/>
        <v>-28.903581031722474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 ca="1">J62+J60</f>
        <v>26.762935801316353</v>
      </c>
      <c r="K63" s="51">
        <f t="shared" ref="K63:Q63" ca="1" si="15">K62+K60</f>
        <v>29.179047400499634</v>
      </c>
      <c r="L63" s="51">
        <f t="shared" ca="1" si="15"/>
        <v>32.866425409587137</v>
      </c>
      <c r="M63" s="51">
        <f t="shared" ca="1" si="15"/>
        <v>36.429881435282553</v>
      </c>
      <c r="N63" s="51">
        <f t="shared" ca="1" si="15"/>
        <v>40.377255386841135</v>
      </c>
      <c r="O63" s="51">
        <f t="shared" ca="1" si="15"/>
        <v>44.171014319852283</v>
      </c>
      <c r="P63" s="51">
        <f t="shared" ca="1" si="15"/>
        <v>48.895128092839116</v>
      </c>
      <c r="Q63" s="51">
        <f t="shared" ca="1" si="15"/>
        <v>53.678079058913177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ca="1" si="16">IFERROR(J63/J$47,0)</f>
        <v>7.4527807856631448E-2</v>
      </c>
      <c r="K64" s="59">
        <f t="shared" ca="1" si="16"/>
        <v>7.6656650537506324E-2</v>
      </c>
      <c r="L64" s="59">
        <f t="shared" ca="1" si="16"/>
        <v>8.0695148325532609E-2</v>
      </c>
      <c r="M64" s="59">
        <f t="shared" ca="1" si="16"/>
        <v>8.4381422891450633E-2</v>
      </c>
      <c r="N64" s="59">
        <f t="shared" ca="1" si="16"/>
        <v>8.9071052134203368E-2</v>
      </c>
      <c r="O64" s="59">
        <f t="shared" ca="1" si="16"/>
        <v>9.3692282792779483E-2</v>
      </c>
      <c r="P64" s="59">
        <f t="shared" ca="1" si="16"/>
        <v>9.9723772021335519E-2</v>
      </c>
      <c r="Q64" s="59">
        <f t="shared" ca="1" si="16"/>
        <v>0.10526808811586987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ca="1" si="17">IFERROR(J63/I63-1,0)</f>
        <v>0</v>
      </c>
      <c r="K65" s="57">
        <f t="shared" ca="1" si="17"/>
        <v>9.0278272052068509E-2</v>
      </c>
      <c r="L65" s="57">
        <f t="shared" ca="1" si="17"/>
        <v>0.12637074673741289</v>
      </c>
      <c r="M65" s="57">
        <f t="shared" ca="1" si="17"/>
        <v>0.10842237880411409</v>
      </c>
      <c r="N65" s="57">
        <f t="shared" ca="1" si="17"/>
        <v>0.10835538838003256</v>
      </c>
      <c r="O65" s="57">
        <f t="shared" ca="1" si="17"/>
        <v>9.3957820972832229E-2</v>
      </c>
      <c r="P65" s="57">
        <f t="shared" ca="1" si="17"/>
        <v>0.10695053862196735</v>
      </c>
      <c r="Q65" s="57">
        <f t="shared" ca="1" si="17"/>
        <v>9.7820604069028816E-2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8">O69</f>
        <v>0.04</v>
      </c>
      <c r="Q69" s="61">
        <f t="shared" si="18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9">J70</f>
        <v>0.4</v>
      </c>
      <c r="L70" s="61">
        <f t="shared" si="19"/>
        <v>0.4</v>
      </c>
      <c r="M70" s="61">
        <f t="shared" si="19"/>
        <v>0.4</v>
      </c>
      <c r="N70" s="61">
        <f t="shared" si="19"/>
        <v>0.4</v>
      </c>
      <c r="O70" s="61">
        <f t="shared" si="19"/>
        <v>0.4</v>
      </c>
      <c r="P70" s="61">
        <f t="shared" si="19"/>
        <v>0.4</v>
      </c>
      <c r="Q70" s="61">
        <f t="shared" si="19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9"/>
        <v>0.26315789473684209</v>
      </c>
      <c r="L71" s="62">
        <f t="shared" si="19"/>
        <v>0.26315789473684209</v>
      </c>
      <c r="M71" s="62">
        <f t="shared" si="19"/>
        <v>0.26315789473684209</v>
      </c>
      <c r="N71" s="62">
        <f t="shared" si="19"/>
        <v>0.26315789473684209</v>
      </c>
      <c r="O71" s="62">
        <f t="shared" si="19"/>
        <v>0.26315789473684209</v>
      </c>
      <c r="P71" s="62">
        <f t="shared" si="19"/>
        <v>0.26315789473684209</v>
      </c>
      <c r="Q71" s="62">
        <f t="shared" si="19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9"/>
        <v>4.9707602339181284E-2</v>
      </c>
      <c r="L72" s="62">
        <f t="shared" si="19"/>
        <v>4.9707602339181284E-2</v>
      </c>
      <c r="M72" s="62">
        <f t="shared" si="19"/>
        <v>4.9707602339181284E-2</v>
      </c>
      <c r="N72" s="62">
        <f t="shared" si="19"/>
        <v>4.9707602339181284E-2</v>
      </c>
      <c r="O72" s="62">
        <f t="shared" si="19"/>
        <v>4.9707602339181284E-2</v>
      </c>
      <c r="P72" s="62">
        <f t="shared" si="19"/>
        <v>4.9707602339181284E-2</v>
      </c>
      <c r="Q72" s="62">
        <f t="shared" si="19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9"/>
        <v>4.9707602339181284E-2</v>
      </c>
      <c r="L73" s="76">
        <f t="shared" si="19"/>
        <v>4.9707602339181284E-2</v>
      </c>
      <c r="M73" s="76">
        <f t="shared" si="19"/>
        <v>4.9707602339181284E-2</v>
      </c>
      <c r="N73" s="76">
        <f t="shared" si="19"/>
        <v>4.9707602339181284E-2</v>
      </c>
      <c r="O73" s="76">
        <f t="shared" si="19"/>
        <v>4.9707602339181284E-2</v>
      </c>
      <c r="P73" s="76">
        <f t="shared" si="19"/>
        <v>4.9707602339181284E-2</v>
      </c>
      <c r="Q73" s="76">
        <f t="shared" si="19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>
        <f>I47</f>
        <v>342</v>
      </c>
      <c r="J84" s="82">
        <f t="shared" ref="J84:Q84" si="20">J47</f>
        <v>359.1</v>
      </c>
      <c r="K84" s="82">
        <f t="shared" si="20"/>
        <v>380.64600000000002</v>
      </c>
      <c r="L84" s="82">
        <f t="shared" si="20"/>
        <v>407.29122000000007</v>
      </c>
      <c r="M84" s="82">
        <f t="shared" si="20"/>
        <v>431.72869320000007</v>
      </c>
      <c r="N84" s="82">
        <f t="shared" si="20"/>
        <v>453.31512786000008</v>
      </c>
      <c r="O84" s="82">
        <f t="shared" si="20"/>
        <v>471.44773297440008</v>
      </c>
      <c r="P84" s="82">
        <f t="shared" si="20"/>
        <v>490.30564229337608</v>
      </c>
      <c r="Q84" s="82">
        <f t="shared" si="20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>
        <f>I84*I70</f>
        <v>136.80000000000001</v>
      </c>
      <c r="J85" s="87">
        <f t="shared" ref="J85:Q85" si="21">J84*J70</f>
        <v>143.64000000000001</v>
      </c>
      <c r="K85" s="87">
        <f t="shared" si="21"/>
        <v>152.25840000000002</v>
      </c>
      <c r="L85" s="87">
        <f t="shared" si="21"/>
        <v>162.91648800000004</v>
      </c>
      <c r="M85" s="87">
        <f t="shared" si="21"/>
        <v>172.69147728000004</v>
      </c>
      <c r="N85" s="87">
        <f t="shared" si="21"/>
        <v>181.32605114400005</v>
      </c>
      <c r="O85" s="87">
        <f t="shared" si="21"/>
        <v>188.57909318976004</v>
      </c>
      <c r="P85" s="87">
        <f t="shared" si="21"/>
        <v>196.12225691735046</v>
      </c>
      <c r="Q85" s="87">
        <f t="shared" si="21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I98/I84*F87</f>
        <v>94.73684210526315</v>
      </c>
      <c r="J88" s="92">
        <f>I88</f>
        <v>94.73684210526315</v>
      </c>
      <c r="K88" s="92">
        <f t="shared" ref="K88:Q88" si="22">J88</f>
        <v>94.73684210526315</v>
      </c>
      <c r="L88" s="92">
        <f t="shared" si="22"/>
        <v>94.73684210526315</v>
      </c>
      <c r="M88" s="92">
        <f t="shared" si="22"/>
        <v>94.73684210526315</v>
      </c>
      <c r="N88" s="92">
        <f t="shared" si="22"/>
        <v>94.73684210526315</v>
      </c>
      <c r="O88" s="92">
        <f t="shared" si="22"/>
        <v>94.73684210526315</v>
      </c>
      <c r="P88" s="92">
        <f t="shared" si="22"/>
        <v>94.73684210526315</v>
      </c>
      <c r="Q88" s="92">
        <f t="shared" si="22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I99/I85*F87</f>
        <v>118.42105263157893</v>
      </c>
      <c r="J89" s="93">
        <f t="shared" ref="J89:Q90" si="23">I89</f>
        <v>118.42105263157893</v>
      </c>
      <c r="K89" s="93">
        <f t="shared" si="23"/>
        <v>118.42105263157893</v>
      </c>
      <c r="L89" s="93">
        <f t="shared" si="23"/>
        <v>118.42105263157893</v>
      </c>
      <c r="M89" s="93">
        <f t="shared" si="23"/>
        <v>118.42105263157893</v>
      </c>
      <c r="N89" s="93">
        <f t="shared" si="23"/>
        <v>118.42105263157893</v>
      </c>
      <c r="O89" s="93">
        <f t="shared" si="23"/>
        <v>118.42105263157893</v>
      </c>
      <c r="P89" s="93">
        <f t="shared" si="23"/>
        <v>118.42105263157893</v>
      </c>
      <c r="Q89" s="93">
        <f t="shared" si="23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I103/I85*F87</f>
        <v>115.78947368421052</v>
      </c>
      <c r="J90" s="94">
        <f t="shared" si="23"/>
        <v>115.78947368421052</v>
      </c>
      <c r="K90" s="94">
        <f t="shared" si="23"/>
        <v>115.78947368421052</v>
      </c>
      <c r="L90" s="94">
        <f t="shared" si="23"/>
        <v>115.78947368421052</v>
      </c>
      <c r="M90" s="94">
        <f t="shared" si="23"/>
        <v>115.78947368421052</v>
      </c>
      <c r="N90" s="94">
        <f t="shared" si="23"/>
        <v>115.78947368421052</v>
      </c>
      <c r="O90" s="94">
        <f t="shared" si="23"/>
        <v>115.78947368421052</v>
      </c>
      <c r="P90" s="94">
        <f t="shared" si="23"/>
        <v>115.78947368421052</v>
      </c>
      <c r="Q90" s="94">
        <f t="shared" si="23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 t="shared" ref="J91:Q91" si="24">J88+J89-J90</f>
        <v>97.368421052631561</v>
      </c>
      <c r="K91" s="95">
        <f t="shared" si="24"/>
        <v>97.368421052631561</v>
      </c>
      <c r="L91" s="95">
        <f t="shared" si="24"/>
        <v>97.368421052631561</v>
      </c>
      <c r="M91" s="95">
        <f t="shared" si="24"/>
        <v>97.368421052631561</v>
      </c>
      <c r="N91" s="95">
        <f t="shared" si="24"/>
        <v>97.368421052631561</v>
      </c>
      <c r="O91" s="95">
        <f t="shared" si="24"/>
        <v>97.368421052631561</v>
      </c>
      <c r="P91" s="95">
        <f t="shared" si="24"/>
        <v>97.368421052631561</v>
      </c>
      <c r="Q91" s="95">
        <f t="shared" si="24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25">J93</f>
        <v>2.046783625730994E-2</v>
      </c>
      <c r="L93" s="61">
        <f t="shared" si="25"/>
        <v>2.046783625730994E-2</v>
      </c>
      <c r="M93" s="61">
        <f t="shared" si="25"/>
        <v>2.046783625730994E-2</v>
      </c>
      <c r="N93" s="61">
        <f t="shared" si="25"/>
        <v>2.046783625730994E-2</v>
      </c>
      <c r="O93" s="61">
        <f t="shared" si="25"/>
        <v>2.046783625730994E-2</v>
      </c>
      <c r="P93" s="61">
        <f t="shared" si="25"/>
        <v>2.046783625730994E-2</v>
      </c>
      <c r="Q93" s="61">
        <f t="shared" si="25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 t="shared" ref="J94:Q95" si="26">I94</f>
        <v>0.10818713450292397</v>
      </c>
      <c r="K94" s="62">
        <f t="shared" si="26"/>
        <v>0.10818713450292397</v>
      </c>
      <c r="L94" s="62">
        <f t="shared" si="26"/>
        <v>0.10818713450292397</v>
      </c>
      <c r="M94" s="62">
        <f t="shared" si="26"/>
        <v>0.10818713450292397</v>
      </c>
      <c r="N94" s="62">
        <f t="shared" si="26"/>
        <v>0.10818713450292397</v>
      </c>
      <c r="O94" s="62">
        <f t="shared" si="26"/>
        <v>0.10818713450292397</v>
      </c>
      <c r="P94" s="62">
        <f t="shared" si="26"/>
        <v>0.10818713450292397</v>
      </c>
      <c r="Q94" s="62">
        <f t="shared" si="26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si="26"/>
        <v>8.771929824561403E-3</v>
      </c>
      <c r="K95" s="76">
        <f t="shared" si="26"/>
        <v>8.771929824561403E-3</v>
      </c>
      <c r="L95" s="76">
        <f t="shared" si="26"/>
        <v>8.771929824561403E-3</v>
      </c>
      <c r="M95" s="76">
        <f t="shared" si="26"/>
        <v>8.771929824561403E-3</v>
      </c>
      <c r="N95" s="76">
        <f t="shared" si="26"/>
        <v>8.771929824561403E-3</v>
      </c>
      <c r="O95" s="76">
        <f t="shared" si="26"/>
        <v>8.771929824561403E-3</v>
      </c>
      <c r="P95" s="76">
        <f t="shared" si="26"/>
        <v>8.771929824561403E-3</v>
      </c>
      <c r="Q95" s="76">
        <f t="shared" si="26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9" si="27">K88/$F$87*K84</f>
        <v>100.17</v>
      </c>
      <c r="L98" s="82">
        <f t="shared" si="27"/>
        <v>107.18190000000001</v>
      </c>
      <c r="M98" s="82">
        <f t="shared" si="27"/>
        <v>113.61281400000001</v>
      </c>
      <c r="N98" s="82">
        <f t="shared" si="27"/>
        <v>119.29345470000001</v>
      </c>
      <c r="O98" s="82">
        <f t="shared" si="27"/>
        <v>124.06519288800001</v>
      </c>
      <c r="P98" s="82">
        <f t="shared" si="27"/>
        <v>129.02780060352001</v>
      </c>
      <c r="Q98" s="82">
        <f t="shared" si="27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 t="shared" ref="I99:I100" si="28">H121</f>
        <v>45</v>
      </c>
      <c r="J99" s="72">
        <f>J89/$F$87*J85</f>
        <v>47.25</v>
      </c>
      <c r="K99" s="72">
        <f t="shared" si="27"/>
        <v>50.085000000000001</v>
      </c>
      <c r="L99" s="72">
        <f t="shared" si="27"/>
        <v>53.590950000000007</v>
      </c>
      <c r="M99" s="72">
        <f t="shared" si="27"/>
        <v>56.806407000000007</v>
      </c>
      <c r="N99" s="72">
        <f t="shared" si="27"/>
        <v>59.646727350000006</v>
      </c>
      <c r="O99" s="72">
        <f t="shared" si="27"/>
        <v>62.032596444000006</v>
      </c>
      <c r="P99" s="72">
        <f t="shared" si="27"/>
        <v>64.513900301760017</v>
      </c>
      <c r="Q99" s="72">
        <f t="shared" si="27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 t="shared" si="28"/>
        <v>7</v>
      </c>
      <c r="J100" s="73">
        <f>J93*J84</f>
        <v>7.35</v>
      </c>
      <c r="K100" s="73">
        <f t="shared" ref="K100:Q100" si="29">K93*K84</f>
        <v>7.7909999999999995</v>
      </c>
      <c r="L100" s="73">
        <f t="shared" si="29"/>
        <v>8.3363700000000005</v>
      </c>
      <c r="M100" s="73">
        <f t="shared" si="29"/>
        <v>8.8365522000000016</v>
      </c>
      <c r="N100" s="73">
        <f t="shared" si="29"/>
        <v>9.2783798100000006</v>
      </c>
      <c r="O100" s="73">
        <f t="shared" si="29"/>
        <v>9.6495150024000012</v>
      </c>
      <c r="P100" s="73">
        <f t="shared" si="29"/>
        <v>10.035495602496001</v>
      </c>
      <c r="Q100" s="73">
        <f t="shared" si="29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30">SUM(K98:K100)</f>
        <v>158.04599999999999</v>
      </c>
      <c r="L101" s="51">
        <f t="shared" si="30"/>
        <v>169.10921999999999</v>
      </c>
      <c r="M101" s="51">
        <f t="shared" si="30"/>
        <v>179.25577320000002</v>
      </c>
      <c r="N101" s="51">
        <f t="shared" si="30"/>
        <v>188.21856186000002</v>
      </c>
      <c r="O101" s="51">
        <f t="shared" si="30"/>
        <v>195.74730433440001</v>
      </c>
      <c r="P101" s="51">
        <f t="shared" si="30"/>
        <v>203.57719650777605</v>
      </c>
      <c r="Q101" s="51">
        <f t="shared" si="30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31">K90/$F$87*K85</f>
        <v>48.972000000000001</v>
      </c>
      <c r="L103" s="82">
        <f t="shared" si="31"/>
        <v>52.400040000000011</v>
      </c>
      <c r="M103" s="82">
        <f t="shared" si="31"/>
        <v>55.544042400000009</v>
      </c>
      <c r="N103" s="82">
        <f t="shared" si="31"/>
        <v>58.321244520000015</v>
      </c>
      <c r="O103" s="82">
        <f t="shared" si="31"/>
        <v>60.654094300800011</v>
      </c>
      <c r="P103" s="82">
        <f t="shared" si="31"/>
        <v>63.080258072832017</v>
      </c>
      <c r="Q103" s="82">
        <f t="shared" si="31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32">H131</f>
        <v>37</v>
      </c>
      <c r="J104" s="72">
        <f>J94*J$84</f>
        <v>38.85</v>
      </c>
      <c r="K104" s="72">
        <f t="shared" ref="K104:Q104" si="33">K94*K$84</f>
        <v>41.180999999999997</v>
      </c>
      <c r="L104" s="72">
        <f t="shared" si="33"/>
        <v>44.063670000000002</v>
      </c>
      <c r="M104" s="72">
        <f t="shared" si="33"/>
        <v>46.707490200000002</v>
      </c>
      <c r="N104" s="72">
        <f t="shared" si="33"/>
        <v>49.042864710000003</v>
      </c>
      <c r="O104" s="72">
        <f t="shared" si="33"/>
        <v>51.004579298400003</v>
      </c>
      <c r="P104" s="72">
        <f t="shared" si="33"/>
        <v>53.044762470336003</v>
      </c>
      <c r="Q104" s="72">
        <f t="shared" si="33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32"/>
        <v>3</v>
      </c>
      <c r="J105" s="73">
        <f t="shared" ref="J105:Q105" si="34">J95*J$84</f>
        <v>3.15</v>
      </c>
      <c r="K105" s="73">
        <f t="shared" si="34"/>
        <v>3.339</v>
      </c>
      <c r="L105" s="73">
        <f t="shared" si="34"/>
        <v>3.5727300000000004</v>
      </c>
      <c r="M105" s="73">
        <f t="shared" si="34"/>
        <v>3.7870938000000005</v>
      </c>
      <c r="N105" s="73">
        <f t="shared" si="34"/>
        <v>3.9764484900000006</v>
      </c>
      <c r="O105" s="73">
        <f t="shared" si="34"/>
        <v>4.1355064296000004</v>
      </c>
      <c r="P105" s="73">
        <f t="shared" si="34"/>
        <v>4.3009266867840008</v>
      </c>
      <c r="Q105" s="73">
        <f t="shared" si="34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35">SUM(K103:K105)</f>
        <v>93.49199999999999</v>
      </c>
      <c r="L106" s="51">
        <f t="shared" si="35"/>
        <v>100.03644000000003</v>
      </c>
      <c r="M106" s="51">
        <f t="shared" si="35"/>
        <v>106.03862640000001</v>
      </c>
      <c r="N106" s="51">
        <f t="shared" si="35"/>
        <v>111.34055772000002</v>
      </c>
      <c r="O106" s="51">
        <f t="shared" si="35"/>
        <v>115.79418002880001</v>
      </c>
      <c r="P106" s="51">
        <f t="shared" si="35"/>
        <v>120.42594722995202</v>
      </c>
      <c r="Q106" s="51">
        <f t="shared" si="35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 t="shared" ref="J108:Q108" si="36">J101-J106</f>
        <v>60.899999999999977</v>
      </c>
      <c r="K108" s="51">
        <f t="shared" si="36"/>
        <v>64.554000000000002</v>
      </c>
      <c r="L108" s="51">
        <f t="shared" si="36"/>
        <v>69.072779999999966</v>
      </c>
      <c r="M108" s="51">
        <f t="shared" si="36"/>
        <v>73.217146800000009</v>
      </c>
      <c r="N108" s="51">
        <f t="shared" si="36"/>
        <v>76.878004140000002</v>
      </c>
      <c r="O108" s="51">
        <f t="shared" si="36"/>
        <v>79.953124305599999</v>
      </c>
      <c r="P108" s="51">
        <f t="shared" si="36"/>
        <v>83.151249277824036</v>
      </c>
      <c r="Q108" s="51">
        <f t="shared" si="36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37">J108-K108</f>
        <v>-3.6540000000000248</v>
      </c>
      <c r="L109" s="49">
        <f t="shared" si="37"/>
        <v>-4.518779999999964</v>
      </c>
      <c r="M109" s="49">
        <f t="shared" si="37"/>
        <v>-4.1443668000000429</v>
      </c>
      <c r="N109" s="49">
        <f t="shared" si="37"/>
        <v>-3.6608573399999926</v>
      </c>
      <c r="O109" s="49">
        <f t="shared" si="37"/>
        <v>-3.0751201655999978</v>
      </c>
      <c r="P109" s="49">
        <f t="shared" si="37"/>
        <v>-3.1981249722240364</v>
      </c>
      <c r="Q109" s="49">
        <f t="shared" si="37"/>
        <v>-3.326049971112937</v>
      </c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>
        <f ca="1">J167</f>
        <v>5</v>
      </c>
      <c r="K119" s="82">
        <f t="shared" ref="K119:Q119" ca="1" si="38">K167</f>
        <v>5</v>
      </c>
      <c r="L119" s="82">
        <f t="shared" ca="1" si="38"/>
        <v>5</v>
      </c>
      <c r="M119" s="82">
        <f t="shared" ca="1" si="38"/>
        <v>5</v>
      </c>
      <c r="N119" s="82">
        <f t="shared" ca="1" si="38"/>
        <v>5</v>
      </c>
      <c r="O119" s="82">
        <f t="shared" ca="1" si="38"/>
        <v>5</v>
      </c>
      <c r="P119" s="82">
        <f t="shared" ca="1" si="38"/>
        <v>5</v>
      </c>
      <c r="Q119" s="82">
        <f t="shared" ca="1" si="38"/>
        <v>5</v>
      </c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>
        <f>J98</f>
        <v>94.5</v>
      </c>
      <c r="K120" s="72">
        <f t="shared" ref="K120:Q120" si="39">K98</f>
        <v>100.17</v>
      </c>
      <c r="L120" s="72">
        <f t="shared" si="39"/>
        <v>107.18190000000001</v>
      </c>
      <c r="M120" s="72">
        <f t="shared" si="39"/>
        <v>113.61281400000001</v>
      </c>
      <c r="N120" s="72">
        <f t="shared" si="39"/>
        <v>119.29345470000001</v>
      </c>
      <c r="O120" s="72">
        <f t="shared" si="39"/>
        <v>124.06519288800001</v>
      </c>
      <c r="P120" s="72">
        <f t="shared" si="39"/>
        <v>129.02780060352001</v>
      </c>
      <c r="Q120" s="72">
        <f t="shared" si="39"/>
        <v>134.18891262766081</v>
      </c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 t="shared" ref="I121:I122" si="40">H121</f>
        <v>45</v>
      </c>
      <c r="J121" s="72">
        <f t="shared" ref="J121:Q122" si="41">J99</f>
        <v>47.25</v>
      </c>
      <c r="K121" s="72">
        <f t="shared" si="41"/>
        <v>50.085000000000001</v>
      </c>
      <c r="L121" s="72">
        <f t="shared" si="41"/>
        <v>53.590950000000007</v>
      </c>
      <c r="M121" s="72">
        <f t="shared" si="41"/>
        <v>56.806407000000007</v>
      </c>
      <c r="N121" s="72">
        <f t="shared" si="41"/>
        <v>59.646727350000006</v>
      </c>
      <c r="O121" s="72">
        <f t="shared" si="41"/>
        <v>62.032596444000006</v>
      </c>
      <c r="P121" s="72">
        <f t="shared" si="41"/>
        <v>64.513900301760017</v>
      </c>
      <c r="Q121" s="72">
        <f t="shared" si="41"/>
        <v>67.094456313830406</v>
      </c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2">
        <f t="shared" si="40"/>
        <v>7</v>
      </c>
      <c r="J122" s="73">
        <f t="shared" si="41"/>
        <v>7.35</v>
      </c>
      <c r="K122" s="73">
        <f t="shared" si="41"/>
        <v>7.7909999999999995</v>
      </c>
      <c r="L122" s="73">
        <f t="shared" si="41"/>
        <v>8.3363700000000005</v>
      </c>
      <c r="M122" s="73">
        <f t="shared" si="41"/>
        <v>8.8365522000000016</v>
      </c>
      <c r="N122" s="73">
        <f t="shared" si="41"/>
        <v>9.2783798100000006</v>
      </c>
      <c r="O122" s="73">
        <f t="shared" si="41"/>
        <v>9.6495150024000012</v>
      </c>
      <c r="P122" s="73">
        <f t="shared" si="41"/>
        <v>10.035495602496001</v>
      </c>
      <c r="Q122" s="73">
        <f t="shared" si="41"/>
        <v>10.43691542659584</v>
      </c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>
        <f ca="1">SUM(J119:J122)</f>
        <v>154.1</v>
      </c>
      <c r="K123" s="51">
        <f t="shared" ref="K123:Q123" ca="1" si="42">SUM(K119:K122)</f>
        <v>163.04599999999999</v>
      </c>
      <c r="L123" s="51">
        <f t="shared" ca="1" si="42"/>
        <v>174.10921999999999</v>
      </c>
      <c r="M123" s="51">
        <f t="shared" ca="1" si="42"/>
        <v>184.25577320000002</v>
      </c>
      <c r="N123" s="51">
        <f t="shared" ca="1" si="42"/>
        <v>193.21856186000002</v>
      </c>
      <c r="O123" s="51">
        <f t="shared" ca="1" si="42"/>
        <v>200.74730433440001</v>
      </c>
      <c r="P123" s="51">
        <f t="shared" ca="1" si="42"/>
        <v>208.57719650777605</v>
      </c>
      <c r="Q123" s="51">
        <f t="shared" ca="1" si="42"/>
        <v>216.72028436808708</v>
      </c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>
        <f>I124-J155-J151</f>
        <v>78</v>
      </c>
      <c r="K124" s="72">
        <f t="shared" ref="K124:Q124" si="43">J124-K155-K151</f>
        <v>78</v>
      </c>
      <c r="L124" s="72">
        <f t="shared" si="43"/>
        <v>78</v>
      </c>
      <c r="M124" s="72">
        <f t="shared" si="43"/>
        <v>78</v>
      </c>
      <c r="N124" s="72">
        <f t="shared" si="43"/>
        <v>78</v>
      </c>
      <c r="O124" s="72">
        <f t="shared" si="43"/>
        <v>78</v>
      </c>
      <c r="P124" s="72">
        <f t="shared" si="43"/>
        <v>78</v>
      </c>
      <c r="Q124" s="72">
        <f t="shared" si="43"/>
        <v>78</v>
      </c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>
        <f>I125</f>
        <v>670</v>
      </c>
      <c r="K125" s="72">
        <f t="shared" ref="K125:Q125" si="44">J125</f>
        <v>670</v>
      </c>
      <c r="L125" s="72">
        <f t="shared" si="44"/>
        <v>670</v>
      </c>
      <c r="M125" s="72">
        <f t="shared" si="44"/>
        <v>670</v>
      </c>
      <c r="N125" s="72">
        <f t="shared" si="44"/>
        <v>670</v>
      </c>
      <c r="O125" s="72">
        <f t="shared" si="44"/>
        <v>670</v>
      </c>
      <c r="P125" s="72">
        <f t="shared" si="44"/>
        <v>670</v>
      </c>
      <c r="Q125" s="72">
        <f t="shared" si="44"/>
        <v>670</v>
      </c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>
        <f>I126-J256</f>
        <v>15.452083333333334</v>
      </c>
      <c r="K126" s="73">
        <f t="shared" ref="K126:Q126" si="45">J126-K256</f>
        <v>13.966666666666669</v>
      </c>
      <c r="L126" s="73">
        <f t="shared" si="45"/>
        <v>12.481250000000003</v>
      </c>
      <c r="M126" s="73">
        <f t="shared" si="45"/>
        <v>10.995833333333337</v>
      </c>
      <c r="N126" s="73">
        <f t="shared" si="45"/>
        <v>9.5104166666666714</v>
      </c>
      <c r="O126" s="73">
        <f t="shared" si="45"/>
        <v>8.1250000000000053</v>
      </c>
      <c r="P126" s="73">
        <f t="shared" si="45"/>
        <v>7.3125000000000053</v>
      </c>
      <c r="Q126" s="73">
        <f t="shared" si="45"/>
        <v>6.5000000000000053</v>
      </c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>
        <f ca="1">SUM(J123:J126)</f>
        <v>917.55208333333337</v>
      </c>
      <c r="K127" s="51">
        <f t="shared" ref="K127:Q127" ca="1" si="46">SUM(K123:K126)</f>
        <v>925.01266666666675</v>
      </c>
      <c r="L127" s="51">
        <f t="shared" ca="1" si="46"/>
        <v>934.5904700000001</v>
      </c>
      <c r="M127" s="51">
        <f t="shared" ca="1" si="46"/>
        <v>943.25160653333342</v>
      </c>
      <c r="N127" s="51">
        <f t="shared" ca="1" si="46"/>
        <v>950.72897852666665</v>
      </c>
      <c r="O127" s="51">
        <f t="shared" ca="1" si="46"/>
        <v>956.87230433440004</v>
      </c>
      <c r="P127" s="51">
        <f t="shared" ca="1" si="46"/>
        <v>963.88969650777608</v>
      </c>
      <c r="Q127" s="51">
        <f t="shared" ca="1" si="46"/>
        <v>971.22028436808705</v>
      </c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>
        <f>J103</f>
        <v>46.2</v>
      </c>
      <c r="K130" s="82">
        <f t="shared" ref="K130:Q130" si="47">K103</f>
        <v>48.972000000000001</v>
      </c>
      <c r="L130" s="82">
        <f t="shared" si="47"/>
        <v>52.400040000000011</v>
      </c>
      <c r="M130" s="82">
        <f t="shared" si="47"/>
        <v>55.544042400000009</v>
      </c>
      <c r="N130" s="82">
        <f t="shared" si="47"/>
        <v>58.321244520000015</v>
      </c>
      <c r="O130" s="82">
        <f t="shared" si="47"/>
        <v>60.654094300800011</v>
      </c>
      <c r="P130" s="82">
        <f t="shared" si="47"/>
        <v>63.080258072832017</v>
      </c>
      <c r="Q130" s="82">
        <f t="shared" si="47"/>
        <v>65.603468395745296</v>
      </c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48">H131</f>
        <v>37</v>
      </c>
      <c r="J131" s="72">
        <f t="shared" ref="J131:Q132" si="49">J104</f>
        <v>38.85</v>
      </c>
      <c r="K131" s="72">
        <f t="shared" si="49"/>
        <v>41.180999999999997</v>
      </c>
      <c r="L131" s="72">
        <f t="shared" si="49"/>
        <v>44.063670000000002</v>
      </c>
      <c r="M131" s="72">
        <f t="shared" si="49"/>
        <v>46.707490200000002</v>
      </c>
      <c r="N131" s="72">
        <f t="shared" si="49"/>
        <v>49.042864710000003</v>
      </c>
      <c r="O131" s="72">
        <f t="shared" si="49"/>
        <v>51.004579298400003</v>
      </c>
      <c r="P131" s="72">
        <f t="shared" si="49"/>
        <v>53.044762470336003</v>
      </c>
      <c r="Q131" s="72">
        <f t="shared" si="49"/>
        <v>55.166552969149443</v>
      </c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48"/>
        <v>3</v>
      </c>
      <c r="J132" s="73">
        <f t="shared" si="49"/>
        <v>3.15</v>
      </c>
      <c r="K132" s="73">
        <f t="shared" si="49"/>
        <v>3.339</v>
      </c>
      <c r="L132" s="73">
        <f t="shared" si="49"/>
        <v>3.5727300000000004</v>
      </c>
      <c r="M132" s="73">
        <f t="shared" si="49"/>
        <v>3.7870938000000005</v>
      </c>
      <c r="N132" s="73">
        <f t="shared" si="49"/>
        <v>3.9764484900000006</v>
      </c>
      <c r="O132" s="73">
        <f t="shared" si="49"/>
        <v>4.1355064296000004</v>
      </c>
      <c r="P132" s="73">
        <f t="shared" si="49"/>
        <v>4.3009266867840008</v>
      </c>
      <c r="Q132" s="73">
        <f t="shared" si="49"/>
        <v>4.4729637542553604</v>
      </c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>
        <f>SUM(J130:J132)</f>
        <v>88.200000000000017</v>
      </c>
      <c r="K133" s="51">
        <f t="shared" ref="K133:Q133" si="50">SUM(K130:K132)</f>
        <v>93.49199999999999</v>
      </c>
      <c r="L133" s="51">
        <f t="shared" si="50"/>
        <v>100.03644000000003</v>
      </c>
      <c r="M133" s="51">
        <f t="shared" si="50"/>
        <v>106.03862640000001</v>
      </c>
      <c r="N133" s="51">
        <f t="shared" si="50"/>
        <v>111.34055772000002</v>
      </c>
      <c r="O133" s="51">
        <f t="shared" si="50"/>
        <v>115.79418002880001</v>
      </c>
      <c r="P133" s="51">
        <f t="shared" si="50"/>
        <v>120.42594722995202</v>
      </c>
      <c r="Q133" s="51">
        <f t="shared" si="50"/>
        <v>125.24298511915011</v>
      </c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>
        <f ca="1">J185</f>
        <v>574.65164753201691</v>
      </c>
      <c r="K135" s="82">
        <f t="shared" ref="K135:Q135" ca="1" si="51">K185</f>
        <v>547.64118346485066</v>
      </c>
      <c r="L135" s="82">
        <f t="shared" ca="1" si="51"/>
        <v>517.80812138859687</v>
      </c>
      <c r="M135" s="82">
        <f t="shared" ca="1" si="51"/>
        <v>484.03719008664768</v>
      </c>
      <c r="N135" s="82">
        <f t="shared" ca="1" si="51"/>
        <v>445.83537537313987</v>
      </c>
      <c r="O135" s="82">
        <f t="shared" ca="1" si="51"/>
        <v>403.35406455222085</v>
      </c>
      <c r="P135" s="82">
        <f t="shared" ca="1" si="51"/>
        <v>356.84456143160583</v>
      </c>
      <c r="Q135" s="82">
        <f t="shared" ca="1" si="51"/>
        <v>305.68003234380558</v>
      </c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>
        <f>I136</f>
        <v>7</v>
      </c>
      <c r="K136" s="73">
        <f t="shared" ref="K136:Q136" si="52">J136</f>
        <v>7</v>
      </c>
      <c r="L136" s="73">
        <f t="shared" si="52"/>
        <v>7</v>
      </c>
      <c r="M136" s="73">
        <f t="shared" si="52"/>
        <v>7</v>
      </c>
      <c r="N136" s="73">
        <f t="shared" si="52"/>
        <v>7</v>
      </c>
      <c r="O136" s="73">
        <f t="shared" si="52"/>
        <v>7</v>
      </c>
      <c r="P136" s="73">
        <f t="shared" si="52"/>
        <v>7</v>
      </c>
      <c r="Q136" s="73">
        <f t="shared" si="52"/>
        <v>7</v>
      </c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>
        <f ca="1">SUM(J135:J136,J133)</f>
        <v>669.85164753201695</v>
      </c>
      <c r="K137" s="90">
        <f t="shared" ref="K137:Q137" ca="1" si="53">SUM(K135:K136,K133)</f>
        <v>648.13318346485062</v>
      </c>
      <c r="L137" s="90">
        <f t="shared" ca="1" si="53"/>
        <v>624.84456138859696</v>
      </c>
      <c r="M137" s="90">
        <f t="shared" ca="1" si="53"/>
        <v>597.07581648664768</v>
      </c>
      <c r="N137" s="90">
        <f t="shared" ca="1" si="53"/>
        <v>564.17593309313986</v>
      </c>
      <c r="O137" s="90">
        <f t="shared" ca="1" si="53"/>
        <v>526.14824458102089</v>
      </c>
      <c r="P137" s="90">
        <f t="shared" ca="1" si="53"/>
        <v>484.27050866155787</v>
      </c>
      <c r="Q137" s="90">
        <f t="shared" ca="1" si="53"/>
        <v>437.92301746295567</v>
      </c>
    </row>
    <row r="139" spans="1:24" x14ac:dyDescent="0.2">
      <c r="B139" s="3" t="s">
        <v>112</v>
      </c>
      <c r="H139" s="60">
        <v>160</v>
      </c>
      <c r="I139" s="49">
        <f>SUM(G15:G16)-G24</f>
        <v>220.9375</v>
      </c>
      <c r="J139" s="49">
        <f ca="1">I139+J150</f>
        <v>247.70043580131636</v>
      </c>
      <c r="K139" s="49">
        <f t="shared" ref="K139:Q139" ca="1" si="54">J139+K150</f>
        <v>276.87948320181602</v>
      </c>
      <c r="L139" s="49">
        <f t="shared" ca="1" si="54"/>
        <v>309.74590861140314</v>
      </c>
      <c r="M139" s="49">
        <f t="shared" ca="1" si="54"/>
        <v>346.17579004668568</v>
      </c>
      <c r="N139" s="49">
        <f t="shared" ca="1" si="54"/>
        <v>386.55304543352679</v>
      </c>
      <c r="O139" s="49">
        <f t="shared" ca="1" si="54"/>
        <v>430.72405975337909</v>
      </c>
      <c r="P139" s="49">
        <f t="shared" ca="1" si="54"/>
        <v>479.61918784621821</v>
      </c>
      <c r="Q139" s="49">
        <f t="shared" ca="1" si="54"/>
        <v>533.29726690513144</v>
      </c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>
        <f ca="1">J137+J139</f>
        <v>917.55208333333326</v>
      </c>
      <c r="K140" s="51">
        <f t="shared" ref="K140:Q140" ca="1" si="55">K137+K139</f>
        <v>925.01266666666663</v>
      </c>
      <c r="L140" s="51">
        <f t="shared" ca="1" si="55"/>
        <v>934.5904700000001</v>
      </c>
      <c r="M140" s="51">
        <f t="shared" ca="1" si="55"/>
        <v>943.25160653333342</v>
      </c>
      <c r="N140" s="51">
        <f t="shared" ca="1" si="55"/>
        <v>950.72897852666665</v>
      </c>
      <c r="O140" s="51">
        <f t="shared" ca="1" si="55"/>
        <v>956.87230433440004</v>
      </c>
      <c r="P140" s="51">
        <f t="shared" ca="1" si="55"/>
        <v>963.88969650777608</v>
      </c>
      <c r="Q140" s="51">
        <f t="shared" ca="1" si="55"/>
        <v>971.22028436808705</v>
      </c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ca="1" si="56">ROUND(J140,3) = ROUND(J127,3)</f>
        <v>1</v>
      </c>
      <c r="K141" s="91" t="b">
        <f t="shared" ca="1" si="56"/>
        <v>1</v>
      </c>
      <c r="L141" s="91" t="b">
        <f t="shared" ca="1" si="56"/>
        <v>1</v>
      </c>
      <c r="M141" s="91" t="b">
        <f t="shared" ca="1" si="56"/>
        <v>1</v>
      </c>
      <c r="N141" s="91" t="b">
        <f t="shared" ca="1" si="56"/>
        <v>1</v>
      </c>
      <c r="O141" s="91" t="b">
        <f t="shared" ca="1" si="56"/>
        <v>1</v>
      </c>
      <c r="P141" s="91" t="b">
        <f t="shared" ca="1" si="56"/>
        <v>1</v>
      </c>
      <c r="Q141" s="91" t="b">
        <f t="shared" ca="1" si="56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 ca="1">J63</f>
        <v>26.762935801316353</v>
      </c>
      <c r="K150" s="82">
        <f t="shared" ref="K150:Q150" ca="1" si="57">K63</f>
        <v>29.179047400499634</v>
      </c>
      <c r="L150" s="82">
        <f t="shared" ca="1" si="57"/>
        <v>32.866425409587137</v>
      </c>
      <c r="M150" s="82">
        <f t="shared" ca="1" si="57"/>
        <v>36.429881435282553</v>
      </c>
      <c r="N150" s="82">
        <f t="shared" ca="1" si="57"/>
        <v>40.377255386841135</v>
      </c>
      <c r="O150" s="82">
        <f t="shared" ca="1" si="57"/>
        <v>44.171014319852283</v>
      </c>
      <c r="P150" s="82">
        <f t="shared" ca="1" si="57"/>
        <v>48.895128092839116</v>
      </c>
      <c r="Q150" s="82">
        <f t="shared" ca="1" si="57"/>
        <v>53.678079058913177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58">-K54</f>
        <v>18.920999999999999</v>
      </c>
      <c r="L151" s="72">
        <f t="shared" si="58"/>
        <v>20.245470000000001</v>
      </c>
      <c r="M151" s="72">
        <f t="shared" si="58"/>
        <v>21.460198200000001</v>
      </c>
      <c r="N151" s="72">
        <f t="shared" si="58"/>
        <v>22.533208110000004</v>
      </c>
      <c r="O151" s="72">
        <f t="shared" si="58"/>
        <v>23.434536434400002</v>
      </c>
      <c r="P151" s="72">
        <f t="shared" si="58"/>
        <v>24.371917891776004</v>
      </c>
      <c r="Q151" s="72">
        <f t="shared" si="58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>
        <f ca="1">J268</f>
        <v>10.362701261966929</v>
      </c>
      <c r="K152" s="72">
        <f t="shared" ref="K152:Q152" ca="1" si="59">K268</f>
        <v>11.150763079826483</v>
      </c>
      <c r="L152" s="72">
        <f t="shared" ca="1" si="59"/>
        <v>12.008783388044325</v>
      </c>
      <c r="M152" s="72">
        <f t="shared" si="59"/>
        <v>1.4854166666666666</v>
      </c>
      <c r="N152" s="72">
        <f t="shared" si="59"/>
        <v>1.4854166666666666</v>
      </c>
      <c r="O152" s="72">
        <f t="shared" si="59"/>
        <v>1.3854166666666665</v>
      </c>
      <c r="P152" s="72">
        <f t="shared" si="59"/>
        <v>0.81250000000000044</v>
      </c>
      <c r="Q152" s="72">
        <f t="shared" si="59"/>
        <v>0.8125</v>
      </c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60">K109</f>
        <v>-3.6540000000000248</v>
      </c>
      <c r="L153" s="73">
        <f t="shared" si="60"/>
        <v>-4.518779999999964</v>
      </c>
      <c r="M153" s="73">
        <f t="shared" si="60"/>
        <v>-4.1443668000000429</v>
      </c>
      <c r="N153" s="73">
        <f t="shared" si="60"/>
        <v>-3.6608573399999926</v>
      </c>
      <c r="O153" s="73">
        <f t="shared" si="60"/>
        <v>-3.0751201655999978</v>
      </c>
      <c r="P153" s="73">
        <f t="shared" si="60"/>
        <v>-3.1981249722240364</v>
      </c>
      <c r="Q153" s="73">
        <f t="shared" si="60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 ca="1">SUM(J150:J153)</f>
        <v>52.07563706328331</v>
      </c>
      <c r="K154" s="51">
        <f t="shared" ref="K154:Q154" ca="1" si="61">SUM(K150:K153)</f>
        <v>55.596810480326091</v>
      </c>
      <c r="L154" s="51">
        <f t="shared" ca="1" si="61"/>
        <v>60.601898797631492</v>
      </c>
      <c r="M154" s="51">
        <f t="shared" ca="1" si="61"/>
        <v>55.231129501949177</v>
      </c>
      <c r="N154" s="51">
        <f t="shared" ca="1" si="61"/>
        <v>60.735022823507819</v>
      </c>
      <c r="O154" s="51">
        <f t="shared" ca="1" si="61"/>
        <v>65.915847255318951</v>
      </c>
      <c r="P154" s="51">
        <f t="shared" ca="1" si="61"/>
        <v>70.881421012391087</v>
      </c>
      <c r="Q154" s="51">
        <f t="shared" ca="1" si="61"/>
        <v>76.511323695247285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62">-K73*K47</f>
        <v>-18.920999999999999</v>
      </c>
      <c r="L155" s="50">
        <f t="shared" si="62"/>
        <v>-20.245470000000001</v>
      </c>
      <c r="M155" s="50">
        <f t="shared" si="62"/>
        <v>-21.460198200000001</v>
      </c>
      <c r="N155" s="50">
        <f t="shared" si="62"/>
        <v>-22.533208110000004</v>
      </c>
      <c r="O155" s="50">
        <f t="shared" si="62"/>
        <v>-23.434536434400002</v>
      </c>
      <c r="P155" s="50">
        <f t="shared" si="62"/>
        <v>-24.371917891776004</v>
      </c>
      <c r="Q155" s="50">
        <f t="shared" si="62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 ca="1">SUM(J154:J155)</f>
        <v>34.225637063283308</v>
      </c>
      <c r="K156" s="51">
        <f t="shared" ref="K156:Q156" ca="1" si="63">SUM(K154:K155)</f>
        <v>36.675810480326092</v>
      </c>
      <c r="L156" s="51">
        <f t="shared" ca="1" si="63"/>
        <v>40.356428797631494</v>
      </c>
      <c r="M156" s="51">
        <f t="shared" ca="1" si="63"/>
        <v>33.770931301949176</v>
      </c>
      <c r="N156" s="51">
        <f t="shared" ca="1" si="63"/>
        <v>38.201814713507815</v>
      </c>
      <c r="O156" s="51">
        <f t="shared" ca="1" si="63"/>
        <v>42.481310820918949</v>
      </c>
      <c r="P156" s="51">
        <f t="shared" ca="1" si="63"/>
        <v>46.509503120615079</v>
      </c>
      <c r="Q156" s="51">
        <f t="shared" ca="1" si="63"/>
        <v>51.164529087800247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ca="1" si="64">J167</f>
        <v>5</v>
      </c>
      <c r="L158" s="82">
        <f t="shared" ca="1" si="64"/>
        <v>5</v>
      </c>
      <c r="M158" s="82">
        <f t="shared" ca="1" si="64"/>
        <v>5</v>
      </c>
      <c r="N158" s="82">
        <f t="shared" ca="1" si="64"/>
        <v>5</v>
      </c>
      <c r="O158" s="82">
        <f t="shared" ca="1" si="64"/>
        <v>5</v>
      </c>
      <c r="P158" s="82">
        <f t="shared" ca="1" si="64"/>
        <v>5</v>
      </c>
      <c r="Q158" s="82">
        <f t="shared" ca="1" si="64"/>
        <v>5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 ca="1">J156</f>
        <v>34.225637063283308</v>
      </c>
      <c r="K159" s="72">
        <f t="shared" ref="K159:Q159" ca="1" si="65">K156</f>
        <v>36.675810480326092</v>
      </c>
      <c r="L159" s="72">
        <f t="shared" ca="1" si="65"/>
        <v>40.356428797631494</v>
      </c>
      <c r="M159" s="72">
        <f t="shared" ca="1" si="65"/>
        <v>33.770931301949176</v>
      </c>
      <c r="N159" s="72">
        <f t="shared" ca="1" si="65"/>
        <v>38.201814713507815</v>
      </c>
      <c r="O159" s="72">
        <f t="shared" ca="1" si="65"/>
        <v>42.481310820918949</v>
      </c>
      <c r="P159" s="72">
        <f t="shared" ca="1" si="65"/>
        <v>46.509503120615079</v>
      </c>
      <c r="Q159" s="72">
        <f t="shared" ca="1" si="65"/>
        <v>51.164529087800247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66">-$H$32</f>
        <v>-5</v>
      </c>
      <c r="L160" s="73">
        <f t="shared" si="66"/>
        <v>-5</v>
      </c>
      <c r="M160" s="73">
        <f t="shared" si="66"/>
        <v>-5</v>
      </c>
      <c r="N160" s="73">
        <f t="shared" si="66"/>
        <v>-5</v>
      </c>
      <c r="O160" s="73">
        <f t="shared" si="66"/>
        <v>-5</v>
      </c>
      <c r="P160" s="73">
        <f t="shared" si="66"/>
        <v>-5</v>
      </c>
      <c r="Q160" s="73">
        <f t="shared" si="66"/>
        <v>-5</v>
      </c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 ca="1">SUM(J158:J160)</f>
        <v>34.225637063283308</v>
      </c>
      <c r="K161" s="51">
        <f t="shared" ref="K161:Q161" ca="1" si="67">SUM(K158:K160)</f>
        <v>36.675810480326092</v>
      </c>
      <c r="L161" s="51">
        <f t="shared" ca="1" si="67"/>
        <v>40.356428797631494</v>
      </c>
      <c r="M161" s="51">
        <f t="shared" ca="1" si="67"/>
        <v>33.770931301949176</v>
      </c>
      <c r="N161" s="51">
        <f t="shared" ca="1" si="67"/>
        <v>38.201814713507815</v>
      </c>
      <c r="O161" s="51">
        <f t="shared" ca="1" si="67"/>
        <v>42.481310820918949</v>
      </c>
      <c r="P161" s="51">
        <f t="shared" ca="1" si="67"/>
        <v>46.509503120615079</v>
      </c>
      <c r="Q161" s="51">
        <f t="shared" ca="1" si="67"/>
        <v>51.164529087800247</v>
      </c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>
        <f>J204</f>
        <v>-2.75</v>
      </c>
      <c r="K163" s="82">
        <f t="shared" ref="K163:Q163" ca="1" si="68">K204</f>
        <v>-2.75</v>
      </c>
      <c r="L163" s="82">
        <f t="shared" ca="1" si="68"/>
        <v>-2.75</v>
      </c>
      <c r="M163" s="82">
        <f t="shared" ca="1" si="68"/>
        <v>-2.75</v>
      </c>
      <c r="N163" s="82">
        <f t="shared" ca="1" si="68"/>
        <v>-2.75</v>
      </c>
      <c r="O163" s="82">
        <f t="shared" ca="1" si="68"/>
        <v>-2.75</v>
      </c>
      <c r="P163" s="82">
        <f t="shared" ca="1" si="68"/>
        <v>-2.75</v>
      </c>
      <c r="Q163" s="82">
        <f t="shared" ca="1" si="68"/>
        <v>-2.75</v>
      </c>
    </row>
    <row r="164" spans="1:24" x14ac:dyDescent="0.2">
      <c r="B164" s="20" t="s">
        <v>136</v>
      </c>
      <c r="J164" s="50">
        <f ca="1">J213</f>
        <v>-31.475637063283308</v>
      </c>
      <c r="K164" s="50">
        <f t="shared" ref="K164:Q164" ca="1" si="69">K213</f>
        <v>-33.925810480326092</v>
      </c>
      <c r="L164" s="50">
        <f t="shared" ca="1" si="69"/>
        <v>-37.606428797631494</v>
      </c>
      <c r="M164" s="50">
        <f t="shared" ca="1" si="69"/>
        <v>-31.020931301949176</v>
      </c>
      <c r="N164" s="50">
        <f t="shared" ca="1" si="69"/>
        <v>-35.451814713507815</v>
      </c>
      <c r="O164" s="50">
        <f t="shared" ca="1" si="69"/>
        <v>-39.731310820918949</v>
      </c>
      <c r="P164" s="50">
        <f t="shared" ca="1" si="69"/>
        <v>-43.759503120615079</v>
      </c>
      <c r="Q164" s="50">
        <f t="shared" ca="1" si="69"/>
        <v>-48.414529087800247</v>
      </c>
    </row>
    <row r="165" spans="1:24" x14ac:dyDescent="0.2">
      <c r="B165" s="20"/>
    </row>
    <row r="166" spans="1:24" x14ac:dyDescent="0.2">
      <c r="B166" s="20" t="s">
        <v>143</v>
      </c>
      <c r="J166" s="49">
        <f>-J160</f>
        <v>5</v>
      </c>
      <c r="K166" s="49">
        <f t="shared" ref="K166:Q166" si="70">-K160</f>
        <v>5</v>
      </c>
      <c r="L166" s="49">
        <f t="shared" si="70"/>
        <v>5</v>
      </c>
      <c r="M166" s="49">
        <f t="shared" si="70"/>
        <v>5</v>
      </c>
      <c r="N166" s="49">
        <f t="shared" si="70"/>
        <v>5</v>
      </c>
      <c r="O166" s="49">
        <f t="shared" si="70"/>
        <v>5</v>
      </c>
      <c r="P166" s="49">
        <f t="shared" si="70"/>
        <v>5</v>
      </c>
      <c r="Q166" s="49">
        <f t="shared" si="70"/>
        <v>5</v>
      </c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 ca="1">SUM(J166,J163:J164,J161)</f>
        <v>5</v>
      </c>
      <c r="K167" s="51">
        <f t="shared" ref="K167:Q167" ca="1" si="71">SUM(K166,K163:K164,K161)</f>
        <v>5</v>
      </c>
      <c r="L167" s="51">
        <f t="shared" ca="1" si="71"/>
        <v>5</v>
      </c>
      <c r="M167" s="51">
        <f t="shared" ca="1" si="71"/>
        <v>5</v>
      </c>
      <c r="N167" s="51">
        <f t="shared" ca="1" si="71"/>
        <v>5</v>
      </c>
      <c r="O167" s="51">
        <f t="shared" ca="1" si="71"/>
        <v>5</v>
      </c>
      <c r="P167" s="51">
        <f t="shared" ca="1" si="71"/>
        <v>5</v>
      </c>
      <c r="Q167" s="51">
        <f t="shared" ca="1" si="71"/>
        <v>5</v>
      </c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 ca="1">IF($H$38=1,AVERAGE(J158,J167),J158)</f>
        <v>5</v>
      </c>
      <c r="K170" s="82">
        <f t="shared" ref="K170:Q170" ca="1" si="72">IF($H$38=1,AVERAGE(K158,K167),K158)</f>
        <v>5</v>
      </c>
      <c r="L170" s="82">
        <f t="shared" ca="1" si="72"/>
        <v>5</v>
      </c>
      <c r="M170" s="82">
        <f t="shared" ca="1" si="72"/>
        <v>5</v>
      </c>
      <c r="N170" s="82">
        <f t="shared" ca="1" si="72"/>
        <v>5</v>
      </c>
      <c r="O170" s="82">
        <f t="shared" ca="1" si="72"/>
        <v>5</v>
      </c>
      <c r="P170" s="82">
        <f t="shared" ca="1" si="72"/>
        <v>5</v>
      </c>
      <c r="Q170" s="82">
        <f t="shared" ca="1" si="72"/>
        <v>5</v>
      </c>
    </row>
    <row r="171" spans="1:24" x14ac:dyDescent="0.2">
      <c r="B171" s="20" t="s">
        <v>145</v>
      </c>
      <c r="G171" s="99">
        <f>H35</f>
        <v>2.5000000000000001E-3</v>
      </c>
      <c r="J171" s="50">
        <f ca="1">$G171*J170</f>
        <v>1.2500000000000001E-2</v>
      </c>
      <c r="K171" s="50">
        <f t="shared" ref="K171:Q171" ca="1" si="73">$G171*K170</f>
        <v>1.2500000000000001E-2</v>
      </c>
      <c r="L171" s="50">
        <f t="shared" ca="1" si="73"/>
        <v>1.2500000000000001E-2</v>
      </c>
      <c r="M171" s="50">
        <f t="shared" ca="1" si="73"/>
        <v>1.2500000000000001E-2</v>
      </c>
      <c r="N171" s="50">
        <f t="shared" ca="1" si="73"/>
        <v>1.2500000000000001E-2</v>
      </c>
      <c r="O171" s="50">
        <f t="shared" ca="1" si="73"/>
        <v>1.2500000000000001E-2</v>
      </c>
      <c r="P171" s="50">
        <f t="shared" ca="1" si="73"/>
        <v>1.2500000000000001E-2</v>
      </c>
      <c r="Q171" s="50">
        <f t="shared" ca="1" si="73"/>
        <v>1.2500000000000001E-2</v>
      </c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74">J$116</f>
        <v>43100</v>
      </c>
      <c r="K177" s="54">
        <f t="shared" si="74"/>
        <v>43465</v>
      </c>
      <c r="L177" s="54">
        <f t="shared" si="74"/>
        <v>43830</v>
      </c>
      <c r="M177" s="54">
        <f t="shared" si="74"/>
        <v>44196</v>
      </c>
      <c r="N177" s="54">
        <f t="shared" si="74"/>
        <v>44561</v>
      </c>
      <c r="O177" s="54">
        <f t="shared" si="74"/>
        <v>44926</v>
      </c>
      <c r="P177" s="54">
        <f t="shared" si="74"/>
        <v>45291</v>
      </c>
      <c r="Q177" s="54">
        <f t="shared" si="74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>
        <f>G11</f>
        <v>0</v>
      </c>
      <c r="J181" s="82">
        <f ca="1">MAX(0,I181+J200+J209)</f>
        <v>0</v>
      </c>
      <c r="K181" s="82">
        <f t="shared" ref="K181:Q181" ca="1" si="75">MAX(0,J181+K200+K209)</f>
        <v>0</v>
      </c>
      <c r="L181" s="82">
        <f t="shared" ca="1" si="75"/>
        <v>0</v>
      </c>
      <c r="M181" s="82">
        <f t="shared" ca="1" si="75"/>
        <v>0</v>
      </c>
      <c r="N181" s="82">
        <f t="shared" ca="1" si="75"/>
        <v>0</v>
      </c>
      <c r="O181" s="82">
        <f t="shared" ca="1" si="75"/>
        <v>0</v>
      </c>
      <c r="P181" s="82">
        <f t="shared" ca="1" si="75"/>
        <v>0</v>
      </c>
      <c r="Q181" s="82">
        <f t="shared" ca="1" si="75"/>
        <v>0</v>
      </c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>
        <f t="shared" ref="I182:I184" si="76">G12</f>
        <v>275</v>
      </c>
      <c r="J182" s="72">
        <f t="shared" ref="J182:Q182" ca="1" si="77">MAX(0,I182+J201+J210)</f>
        <v>240.7743629367167</v>
      </c>
      <c r="K182" s="72">
        <f t="shared" ca="1" si="77"/>
        <v>204.09855245639062</v>
      </c>
      <c r="L182" s="72">
        <f t="shared" ca="1" si="77"/>
        <v>163.74212365875911</v>
      </c>
      <c r="M182" s="72">
        <f t="shared" ca="1" si="77"/>
        <v>129.97119235680992</v>
      </c>
      <c r="N182" s="72">
        <f t="shared" ca="1" si="77"/>
        <v>91.769377643302107</v>
      </c>
      <c r="O182" s="72">
        <f t="shared" ca="1" si="77"/>
        <v>49.288066822383158</v>
      </c>
      <c r="P182" s="72">
        <f t="shared" ca="1" si="77"/>
        <v>2.7785637017680784</v>
      </c>
      <c r="Q182" s="72">
        <f t="shared" ca="1" si="77"/>
        <v>0</v>
      </c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>
        <f t="shared" si="76"/>
        <v>225</v>
      </c>
      <c r="J183" s="72">
        <f ca="1">MAX(0,I183+J202+J211+J247)</f>
        <v>225</v>
      </c>
      <c r="K183" s="72">
        <f t="shared" ref="K183:Q183" ca="1" si="78">MAX(0,J183+K202+K211+K247)</f>
        <v>225</v>
      </c>
      <c r="L183" s="72">
        <f t="shared" ca="1" si="78"/>
        <v>225</v>
      </c>
      <c r="M183" s="72">
        <f t="shared" ca="1" si="78"/>
        <v>225</v>
      </c>
      <c r="N183" s="72">
        <f t="shared" ca="1" si="78"/>
        <v>225</v>
      </c>
      <c r="O183" s="72">
        <f t="shared" ca="1" si="78"/>
        <v>225</v>
      </c>
      <c r="P183" s="72">
        <f t="shared" ca="1" si="78"/>
        <v>225</v>
      </c>
      <c r="Q183" s="72">
        <f t="shared" ca="1" si="78"/>
        <v>176.61403461396782</v>
      </c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>
        <f t="shared" si="76"/>
        <v>100</v>
      </c>
      <c r="J184" s="73">
        <f t="shared" ref="J184:Q184" ca="1" si="79">MAX(0,I184+J203+J212+J248)</f>
        <v>108.87728459530027</v>
      </c>
      <c r="K184" s="73">
        <f t="shared" ca="1" si="79"/>
        <v>118.54263100846008</v>
      </c>
      <c r="L184" s="73">
        <f t="shared" ca="1" si="79"/>
        <v>129.06599772983773</v>
      </c>
      <c r="M184" s="73">
        <f t="shared" ca="1" si="79"/>
        <v>129.06599772983773</v>
      </c>
      <c r="N184" s="73">
        <f t="shared" ca="1" si="79"/>
        <v>129.06599772983773</v>
      </c>
      <c r="O184" s="73">
        <f t="shared" ca="1" si="79"/>
        <v>129.06599772983773</v>
      </c>
      <c r="P184" s="73">
        <f t="shared" ca="1" si="79"/>
        <v>129.06599772983773</v>
      </c>
      <c r="Q184" s="73">
        <f t="shared" ca="1" si="79"/>
        <v>129.06599772983773</v>
      </c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>
        <f>SUM(I181:I184)</f>
        <v>600</v>
      </c>
      <c r="J185" s="51">
        <f t="shared" ref="J185:Q185" ca="1" si="80">SUM(J181:J184)</f>
        <v>574.65164753201691</v>
      </c>
      <c r="K185" s="51">
        <f t="shared" ca="1" si="80"/>
        <v>547.64118346485066</v>
      </c>
      <c r="L185" s="51">
        <f t="shared" ca="1" si="80"/>
        <v>517.80812138859687</v>
      </c>
      <c r="M185" s="51">
        <f t="shared" ca="1" si="80"/>
        <v>484.03719008664768</v>
      </c>
      <c r="N185" s="51">
        <f t="shared" ca="1" si="80"/>
        <v>445.83537537313987</v>
      </c>
      <c r="O185" s="51">
        <f t="shared" ca="1" si="80"/>
        <v>403.35406455222085</v>
      </c>
      <c r="P185" s="51">
        <f t="shared" ca="1" si="80"/>
        <v>356.84456143160583</v>
      </c>
      <c r="Q185" s="51">
        <f t="shared" ca="1" si="80"/>
        <v>305.68003234380558</v>
      </c>
    </row>
    <row r="186" spans="2:17" x14ac:dyDescent="0.2">
      <c r="C186" s="8" t="s">
        <v>168</v>
      </c>
      <c r="J186" s="57">
        <f ca="1">IFERROR(J185/$I185,0)</f>
        <v>0.9577527458866949</v>
      </c>
      <c r="K186" s="57">
        <f t="shared" ref="K186:Q186" ca="1" si="81">IFERROR(K185/$I185,0)</f>
        <v>0.91273530577475104</v>
      </c>
      <c r="L186" s="57">
        <f t="shared" ca="1" si="81"/>
        <v>0.86301353564766148</v>
      </c>
      <c r="M186" s="57">
        <f t="shared" ca="1" si="81"/>
        <v>0.80672865014441275</v>
      </c>
      <c r="N186" s="57">
        <f t="shared" ca="1" si="81"/>
        <v>0.74305895895523311</v>
      </c>
      <c r="O186" s="57">
        <f t="shared" ca="1" si="81"/>
        <v>0.67225677425370145</v>
      </c>
      <c r="P186" s="57">
        <f t="shared" ca="1" si="81"/>
        <v>0.59474093571934306</v>
      </c>
      <c r="Q186" s="57">
        <f t="shared" ca="1" si="81"/>
        <v>0.50946672057300935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>
        <f>MAX(0,$G189-I181)</f>
        <v>100</v>
      </c>
      <c r="J189" s="101">
        <f t="shared" ref="J189:Q189" ca="1" si="82">MAX(0,$G189-J181)</f>
        <v>100</v>
      </c>
      <c r="K189" s="101">
        <f t="shared" ca="1" si="82"/>
        <v>100</v>
      </c>
      <c r="L189" s="101">
        <f t="shared" ca="1" si="82"/>
        <v>100</v>
      </c>
      <c r="M189" s="101">
        <f t="shared" ca="1" si="82"/>
        <v>100</v>
      </c>
      <c r="N189" s="101">
        <f t="shared" ca="1" si="82"/>
        <v>100</v>
      </c>
      <c r="O189" s="101">
        <f t="shared" ca="1" si="82"/>
        <v>100</v>
      </c>
      <c r="P189" s="101">
        <f t="shared" ca="1" si="82"/>
        <v>100</v>
      </c>
      <c r="Q189" s="101">
        <f t="shared" ca="1" si="82"/>
        <v>100</v>
      </c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>
        <f ca="1">J161</f>
        <v>34.225637063283308</v>
      </c>
      <c r="K191" s="102">
        <f t="shared" ref="K191:Q191" ca="1" si="83">K161</f>
        <v>36.675810480326092</v>
      </c>
      <c r="L191" s="102">
        <f t="shared" ca="1" si="83"/>
        <v>40.356428797631494</v>
      </c>
      <c r="M191" s="102">
        <f t="shared" ca="1" si="83"/>
        <v>33.770931301949176</v>
      </c>
      <c r="N191" s="102">
        <f t="shared" ca="1" si="83"/>
        <v>38.201814713507815</v>
      </c>
      <c r="O191" s="102">
        <f t="shared" ca="1" si="83"/>
        <v>42.481310820918949</v>
      </c>
      <c r="P191" s="102">
        <f t="shared" ca="1" si="83"/>
        <v>46.509503120615079</v>
      </c>
      <c r="Q191" s="102">
        <f t="shared" ca="1" si="83"/>
        <v>51.164529087800247</v>
      </c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84">K194</f>
        <v>0</v>
      </c>
      <c r="M194" s="61">
        <f t="shared" si="84"/>
        <v>0</v>
      </c>
      <c r="N194" s="61">
        <f t="shared" si="84"/>
        <v>0</v>
      </c>
      <c r="O194" s="61">
        <f t="shared" si="84"/>
        <v>0</v>
      </c>
      <c r="P194" s="61">
        <f t="shared" si="84"/>
        <v>0</v>
      </c>
      <c r="Q194" s="61">
        <f t="shared" si="84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85">J195</f>
        <v>0.01</v>
      </c>
      <c r="L195" s="62">
        <f t="shared" si="85"/>
        <v>0.01</v>
      </c>
      <c r="M195" s="62">
        <f t="shared" si="85"/>
        <v>0.01</v>
      </c>
      <c r="N195" s="62">
        <f t="shared" si="85"/>
        <v>0.01</v>
      </c>
      <c r="O195" s="62">
        <f t="shared" si="85"/>
        <v>0.01</v>
      </c>
      <c r="P195" s="62">
        <f t="shared" si="85"/>
        <v>0.01</v>
      </c>
      <c r="Q195" s="62">
        <f t="shared" si="85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85"/>
        <v>0</v>
      </c>
      <c r="L196" s="62">
        <f t="shared" si="85"/>
        <v>0</v>
      </c>
      <c r="M196" s="62">
        <f t="shared" si="85"/>
        <v>0</v>
      </c>
      <c r="N196" s="62">
        <f t="shared" si="85"/>
        <v>0</v>
      </c>
      <c r="O196" s="62">
        <f t="shared" si="85"/>
        <v>0</v>
      </c>
      <c r="P196" s="62">
        <f t="shared" si="85"/>
        <v>0</v>
      </c>
      <c r="Q196" s="62">
        <f t="shared" si="85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85"/>
        <v>0</v>
      </c>
      <c r="L197" s="76">
        <f t="shared" si="85"/>
        <v>0</v>
      </c>
      <c r="M197" s="76">
        <f t="shared" si="85"/>
        <v>0</v>
      </c>
      <c r="N197" s="76">
        <f t="shared" si="85"/>
        <v>0</v>
      </c>
      <c r="O197" s="76">
        <f t="shared" si="85"/>
        <v>0</v>
      </c>
      <c r="P197" s="76">
        <f t="shared" si="85"/>
        <v>0</v>
      </c>
      <c r="Q197" s="76">
        <f t="shared" si="85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>
        <f>-MAX(0,MIN(J194*$I181,I181))</f>
        <v>0</v>
      </c>
      <c r="K200" s="82">
        <f t="shared" ref="K200:Q200" ca="1" si="86">-MAX(0,MIN(K194*$I181,J181))</f>
        <v>0</v>
      </c>
      <c r="L200" s="82">
        <f t="shared" ca="1" si="86"/>
        <v>0</v>
      </c>
      <c r="M200" s="82">
        <f t="shared" ca="1" si="86"/>
        <v>0</v>
      </c>
      <c r="N200" s="82">
        <f t="shared" ca="1" si="86"/>
        <v>0</v>
      </c>
      <c r="O200" s="82">
        <f t="shared" ca="1" si="86"/>
        <v>0</v>
      </c>
      <c r="P200" s="82">
        <f t="shared" ca="1" si="86"/>
        <v>0</v>
      </c>
      <c r="Q200" s="82">
        <f t="shared" ca="1" si="86"/>
        <v>0</v>
      </c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>
        <f t="shared" ref="J201:Q203" si="87">-MAX(0,MIN(J195*$I182,I182))</f>
        <v>-2.75</v>
      </c>
      <c r="K201" s="72">
        <f t="shared" ca="1" si="87"/>
        <v>-2.75</v>
      </c>
      <c r="L201" s="72">
        <f t="shared" ca="1" si="87"/>
        <v>-2.75</v>
      </c>
      <c r="M201" s="72">
        <f t="shared" ca="1" si="87"/>
        <v>-2.75</v>
      </c>
      <c r="N201" s="72">
        <f t="shared" ca="1" si="87"/>
        <v>-2.75</v>
      </c>
      <c r="O201" s="72">
        <f t="shared" ca="1" si="87"/>
        <v>-2.75</v>
      </c>
      <c r="P201" s="72">
        <f t="shared" ca="1" si="87"/>
        <v>-2.75</v>
      </c>
      <c r="Q201" s="72">
        <f t="shared" ca="1" si="87"/>
        <v>-2.75</v>
      </c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>
        <f t="shared" si="87"/>
        <v>0</v>
      </c>
      <c r="K202" s="72">
        <f t="shared" ca="1" si="87"/>
        <v>0</v>
      </c>
      <c r="L202" s="72">
        <f t="shared" ca="1" si="87"/>
        <v>0</v>
      </c>
      <c r="M202" s="72">
        <f t="shared" ca="1" si="87"/>
        <v>0</v>
      </c>
      <c r="N202" s="72">
        <f t="shared" ca="1" si="87"/>
        <v>0</v>
      </c>
      <c r="O202" s="72">
        <f t="shared" ca="1" si="87"/>
        <v>0</v>
      </c>
      <c r="P202" s="72">
        <f t="shared" ca="1" si="87"/>
        <v>0</v>
      </c>
      <c r="Q202" s="72">
        <f t="shared" ca="1" si="87"/>
        <v>0</v>
      </c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>
        <f t="shared" si="87"/>
        <v>0</v>
      </c>
      <c r="K203" s="73">
        <f t="shared" ca="1" si="87"/>
        <v>0</v>
      </c>
      <c r="L203" s="73">
        <f t="shared" ca="1" si="87"/>
        <v>0</v>
      </c>
      <c r="M203" s="73">
        <f t="shared" ca="1" si="87"/>
        <v>0</v>
      </c>
      <c r="N203" s="73">
        <f t="shared" ca="1" si="87"/>
        <v>0</v>
      </c>
      <c r="O203" s="73">
        <f t="shared" ca="1" si="87"/>
        <v>0</v>
      </c>
      <c r="P203" s="73">
        <f t="shared" ca="1" si="87"/>
        <v>0</v>
      </c>
      <c r="Q203" s="73">
        <f t="shared" ca="1" si="87"/>
        <v>0</v>
      </c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>
        <f>SUM(J200:J203)</f>
        <v>-2.75</v>
      </c>
      <c r="K204" s="51">
        <f t="shared" ref="K204:Q204" ca="1" si="88">SUM(K200:K203)</f>
        <v>-2.75</v>
      </c>
      <c r="L204" s="51">
        <f t="shared" ca="1" si="88"/>
        <v>-2.75</v>
      </c>
      <c r="M204" s="51">
        <f t="shared" ca="1" si="88"/>
        <v>-2.75</v>
      </c>
      <c r="N204" s="51">
        <f t="shared" ca="1" si="88"/>
        <v>-2.75</v>
      </c>
      <c r="O204" s="51">
        <f t="shared" ca="1" si="88"/>
        <v>-2.75</v>
      </c>
      <c r="P204" s="51">
        <f t="shared" ca="1" si="88"/>
        <v>-2.75</v>
      </c>
      <c r="Q204" s="51">
        <f t="shared" ca="1" si="88"/>
        <v>-2.75</v>
      </c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>
        <f ca="1">J204+J191</f>
        <v>31.475637063283308</v>
      </c>
      <c r="K206" s="102">
        <f t="shared" ref="K206:Q206" ca="1" si="89">K204+K191</f>
        <v>33.925810480326092</v>
      </c>
      <c r="L206" s="102">
        <f t="shared" ca="1" si="89"/>
        <v>37.606428797631494</v>
      </c>
      <c r="M206" s="102">
        <f t="shared" ca="1" si="89"/>
        <v>31.020931301949176</v>
      </c>
      <c r="N206" s="102">
        <f t="shared" ca="1" si="89"/>
        <v>35.451814713507815</v>
      </c>
      <c r="O206" s="102">
        <f t="shared" ca="1" si="89"/>
        <v>39.731310820918949</v>
      </c>
      <c r="P206" s="102">
        <f t="shared" ca="1" si="89"/>
        <v>43.759503120615079</v>
      </c>
      <c r="Q206" s="102">
        <f t="shared" ca="1" si="89"/>
        <v>48.414529087800247</v>
      </c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>
        <f t="shared" ref="J209:Q209" ca="1" si="90">IF(J206&gt;0,-MAX(0,MIN(J206,I181)),-MIN(0,J206))</f>
        <v>0</v>
      </c>
      <c r="K209" s="82">
        <f t="shared" ca="1" si="90"/>
        <v>0</v>
      </c>
      <c r="L209" s="82">
        <f t="shared" ca="1" si="90"/>
        <v>0</v>
      </c>
      <c r="M209" s="82">
        <f t="shared" ca="1" si="90"/>
        <v>0</v>
      </c>
      <c r="N209" s="82">
        <f t="shared" ca="1" si="90"/>
        <v>0</v>
      </c>
      <c r="O209" s="82">
        <f t="shared" ca="1" si="90"/>
        <v>0</v>
      </c>
      <c r="P209" s="82">
        <f t="shared" ca="1" si="90"/>
        <v>0</v>
      </c>
      <c r="Q209" s="82">
        <f t="shared" ca="1" si="90"/>
        <v>0</v>
      </c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>
        <f ca="1">-MAX(0,MIN(SUM(J$206,J$209:J209),I182+J201))</f>
        <v>-31.475637063283308</v>
      </c>
      <c r="K210" s="72">
        <f ca="1">-MAX(0,MIN(SUM(K$206,K$209:K209),J182+K201))</f>
        <v>-33.925810480326092</v>
      </c>
      <c r="L210" s="72">
        <f ca="1">-MAX(0,MIN(SUM(L$206,L$209:L209),K182+L201))</f>
        <v>-37.606428797631494</v>
      </c>
      <c r="M210" s="72">
        <f ca="1">-MAX(0,MIN(SUM(M$206,M$209:M209),L182+M201))</f>
        <v>-31.020931301949176</v>
      </c>
      <c r="N210" s="72">
        <f ca="1">-MAX(0,MIN(SUM(N$206,N$209:N209),M182+N201))</f>
        <v>-35.451814713507815</v>
      </c>
      <c r="O210" s="72">
        <f ca="1">-MAX(0,MIN(SUM(O$206,O$209:O209),N182+O201))</f>
        <v>-39.731310820918949</v>
      </c>
      <c r="P210" s="72">
        <f ca="1">-MAX(0,MIN(SUM(P$206,P$209:P209),O182+P201))</f>
        <v>-43.759503120615079</v>
      </c>
      <c r="Q210" s="72">
        <f ca="1">-MAX(0,MIN(SUM(Q$206,Q$209:Q209),P182+Q201))</f>
        <v>-2.8563701768078431E-2</v>
      </c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>
        <f ca="1">-MAX(0,MIN(SUM(J$206,J$209:J210),I183+J202))</f>
        <v>0</v>
      </c>
      <c r="K211" s="72">
        <f ca="1">-MAX(0,MIN(SUM(K$206,K$209:K210),J183+K202))</f>
        <v>0</v>
      </c>
      <c r="L211" s="72">
        <f ca="1">-MAX(0,MIN(SUM(L$206,L$209:L210),K183+L202))</f>
        <v>0</v>
      </c>
      <c r="M211" s="72">
        <f ca="1">-MAX(0,MIN(SUM(M$206,M$209:M210),L183+M202))</f>
        <v>0</v>
      </c>
      <c r="N211" s="72">
        <f ca="1">-MAX(0,MIN(SUM(N$206,N$209:N210),M183+N202))</f>
        <v>0</v>
      </c>
      <c r="O211" s="72">
        <f ca="1">-MAX(0,MIN(SUM(O$206,O$209:O210),N183+O202))</f>
        <v>0</v>
      </c>
      <c r="P211" s="72">
        <f ca="1">-MAX(0,MIN(SUM(P$206,P$209:P210),O183+P202))</f>
        <v>0</v>
      </c>
      <c r="Q211" s="72">
        <f ca="1">-MAX(0,MIN(SUM(Q$206,Q$209:Q210),P183+Q202))</f>
        <v>-48.385965386032169</v>
      </c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>
        <f ca="1">-MAX(0,MIN(SUM(J$206,J$209:J211),I184+J203))</f>
        <v>0</v>
      </c>
      <c r="K212" s="72">
        <f ca="1">-MAX(0,MIN(SUM(K$206,K$209:K211),J184+K203))</f>
        <v>0</v>
      </c>
      <c r="L212" s="72">
        <f ca="1">-MAX(0,MIN(SUM(L$206,L$209:L211),K184+L203))</f>
        <v>0</v>
      </c>
      <c r="M212" s="72">
        <f ca="1">-MAX(0,MIN(SUM(M$206,M$209:M211),L184+M203))</f>
        <v>0</v>
      </c>
      <c r="N212" s="72">
        <f ca="1">-MAX(0,MIN(SUM(N$206,N$209:N211),M184+N203))</f>
        <v>0</v>
      </c>
      <c r="O212" s="72">
        <f ca="1">-MAX(0,MIN(SUM(O$206,O$209:O211),N184+O203))</f>
        <v>0</v>
      </c>
      <c r="P212" s="72">
        <f ca="1">-MAX(0,MIN(SUM(P$206,P$209:P211),O184+P203))</f>
        <v>0</v>
      </c>
      <c r="Q212" s="72">
        <f ca="1">-MAX(0,MIN(SUM(Q$206,Q$209:Q211),P184+Q203))</f>
        <v>0</v>
      </c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>
        <f ca="1">SUM(J209:J212)</f>
        <v>-31.475637063283308</v>
      </c>
      <c r="K213" s="51">
        <f t="shared" ref="K213:Q213" ca="1" si="91">SUM(K209:K212)</f>
        <v>-33.925810480326092</v>
      </c>
      <c r="L213" s="51">
        <f t="shared" ca="1" si="91"/>
        <v>-37.606428797631494</v>
      </c>
      <c r="M213" s="51">
        <f t="shared" ca="1" si="91"/>
        <v>-31.020931301949176</v>
      </c>
      <c r="N213" s="51">
        <f t="shared" ca="1" si="91"/>
        <v>-35.451814713507815</v>
      </c>
      <c r="O213" s="51">
        <f t="shared" ca="1" si="91"/>
        <v>-39.731310820918949</v>
      </c>
      <c r="P213" s="51">
        <f t="shared" ca="1" si="91"/>
        <v>-43.759503120615079</v>
      </c>
      <c r="Q213" s="51">
        <f t="shared" ca="1" si="91"/>
        <v>-48.414529087800247</v>
      </c>
    </row>
    <row r="214" spans="1:24" x14ac:dyDescent="0.2">
      <c r="H214" s="3" t="s">
        <v>185</v>
      </c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92">J$116</f>
        <v>43100</v>
      </c>
      <c r="K219" s="54">
        <f t="shared" si="92"/>
        <v>43465</v>
      </c>
      <c r="L219" s="54">
        <f t="shared" si="92"/>
        <v>43830</v>
      </c>
      <c r="M219" s="54">
        <f t="shared" si="92"/>
        <v>44196</v>
      </c>
      <c r="N219" s="54">
        <f t="shared" si="92"/>
        <v>44561</v>
      </c>
      <c r="O219" s="54">
        <f t="shared" si="92"/>
        <v>44926</v>
      </c>
      <c r="P219" s="54">
        <f t="shared" si="92"/>
        <v>45291</v>
      </c>
      <c r="Q219" s="54">
        <f t="shared" si="92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>
        <f ca="1">IF($H$38=1,AVERAGE(I189:J189),I189)</f>
        <v>100</v>
      </c>
      <c r="K225" s="82">
        <f t="shared" ref="K225:Q225" ca="1" si="93">IF($H$38=1,AVERAGE(J189:K189),J189)</f>
        <v>100</v>
      </c>
      <c r="L225" s="82">
        <f t="shared" ca="1" si="93"/>
        <v>100</v>
      </c>
      <c r="M225" s="82">
        <f t="shared" ca="1" si="93"/>
        <v>100</v>
      </c>
      <c r="N225" s="82">
        <f t="shared" ca="1" si="93"/>
        <v>100</v>
      </c>
      <c r="O225" s="82">
        <f t="shared" ca="1" si="93"/>
        <v>100</v>
      </c>
      <c r="P225" s="82">
        <f t="shared" ca="1" si="93"/>
        <v>100</v>
      </c>
      <c r="Q225" s="82">
        <f t="shared" ca="1" si="93"/>
        <v>100</v>
      </c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>
        <f ca="1">IF($H$38=1,AVERAGE(I181:J181),I181)</f>
        <v>0</v>
      </c>
      <c r="K226" s="72">
        <f t="shared" ref="K226:Q226" ca="1" si="94">IF($H$38=1,AVERAGE(J181:K181),J181)</f>
        <v>0</v>
      </c>
      <c r="L226" s="72">
        <f t="shared" ca="1" si="94"/>
        <v>0</v>
      </c>
      <c r="M226" s="72">
        <f t="shared" ca="1" si="94"/>
        <v>0</v>
      </c>
      <c r="N226" s="72">
        <f t="shared" ca="1" si="94"/>
        <v>0</v>
      </c>
      <c r="O226" s="72">
        <f t="shared" ca="1" si="94"/>
        <v>0</v>
      </c>
      <c r="P226" s="72">
        <f t="shared" ca="1" si="94"/>
        <v>0</v>
      </c>
      <c r="Q226" s="72">
        <f t="shared" ca="1" si="94"/>
        <v>0</v>
      </c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>
        <f t="shared" ref="J227:Q229" ca="1" si="95">IF($H$38=1,AVERAGE(I182:J182),I182)</f>
        <v>257.88718146835834</v>
      </c>
      <c r="K227" s="72">
        <f t="shared" ca="1" si="95"/>
        <v>222.43645769655365</v>
      </c>
      <c r="L227" s="72">
        <f t="shared" ca="1" si="95"/>
        <v>183.92033805757487</v>
      </c>
      <c r="M227" s="72">
        <f t="shared" ca="1" si="95"/>
        <v>146.85665800778452</v>
      </c>
      <c r="N227" s="72">
        <f t="shared" ca="1" si="95"/>
        <v>110.87028500005601</v>
      </c>
      <c r="O227" s="72">
        <f t="shared" ca="1" si="95"/>
        <v>70.528722232842625</v>
      </c>
      <c r="P227" s="72">
        <f t="shared" ca="1" si="95"/>
        <v>26.033315262075618</v>
      </c>
      <c r="Q227" s="72">
        <f t="shared" ca="1" si="95"/>
        <v>1.3892818508840392</v>
      </c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>
        <f t="shared" ca="1" si="95"/>
        <v>225</v>
      </c>
      <c r="K228" s="72">
        <f t="shared" ca="1" si="95"/>
        <v>225</v>
      </c>
      <c r="L228" s="72">
        <f t="shared" ca="1" si="95"/>
        <v>225</v>
      </c>
      <c r="M228" s="72">
        <f t="shared" ca="1" si="95"/>
        <v>225</v>
      </c>
      <c r="N228" s="72">
        <f t="shared" ca="1" si="95"/>
        <v>225</v>
      </c>
      <c r="O228" s="72">
        <f t="shared" ca="1" si="95"/>
        <v>225</v>
      </c>
      <c r="P228" s="72">
        <f t="shared" ca="1" si="95"/>
        <v>225</v>
      </c>
      <c r="Q228" s="72">
        <f t="shared" ca="1" si="95"/>
        <v>200.80701730698391</v>
      </c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>
        <f ca="1">IF($H$38=1,AVERAGE(I184:J184),I184)</f>
        <v>104.43864229765013</v>
      </c>
      <c r="K229" s="73">
        <f t="shared" ca="1" si="95"/>
        <v>113.70995780188017</v>
      </c>
      <c r="L229" s="73">
        <f t="shared" ca="1" si="95"/>
        <v>123.8043143691489</v>
      </c>
      <c r="M229" s="73">
        <f t="shared" ca="1" si="95"/>
        <v>129.06599772983773</v>
      </c>
      <c r="N229" s="73">
        <f t="shared" ca="1" si="95"/>
        <v>129.06599772983773</v>
      </c>
      <c r="O229" s="73">
        <f t="shared" ca="1" si="95"/>
        <v>129.06599772983773</v>
      </c>
      <c r="P229" s="73">
        <f t="shared" ca="1" si="95"/>
        <v>129.06599772983773</v>
      </c>
      <c r="Q229" s="73">
        <f t="shared" ca="1" si="95"/>
        <v>129.06599772983773</v>
      </c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>
        <f>IF($G232=1,J$222,0)+$H232</f>
        <v>3.5000000000000001E-3</v>
      </c>
      <c r="K232" s="108">
        <f t="shared" ref="K232:Q236" si="96">IF($G232=1,K$222,0)+$H232</f>
        <v>3.5000000000000001E-3</v>
      </c>
      <c r="L232" s="108">
        <f t="shared" si="96"/>
        <v>3.5000000000000001E-3</v>
      </c>
      <c r="M232" s="108">
        <f t="shared" si="96"/>
        <v>3.5000000000000001E-3</v>
      </c>
      <c r="N232" s="108">
        <f t="shared" si="96"/>
        <v>3.5000000000000001E-3</v>
      </c>
      <c r="O232" s="108">
        <f t="shared" si="96"/>
        <v>3.5000000000000001E-3</v>
      </c>
      <c r="P232" s="108">
        <f t="shared" si="96"/>
        <v>3.5000000000000001E-3</v>
      </c>
      <c r="Q232" s="108">
        <f t="shared" si="96"/>
        <v>3.5000000000000001E-3</v>
      </c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97">S10</f>
        <v>1</v>
      </c>
      <c r="H233" s="110">
        <f t="shared" si="97"/>
        <v>0.02</v>
      </c>
      <c r="I233" s="16"/>
      <c r="J233" s="111">
        <f t="shared" ref="J233:J236" si="98">IF($G233=1,J$222,0)+$H233</f>
        <v>2.5000000000000001E-2</v>
      </c>
      <c r="K233" s="111">
        <f t="shared" si="96"/>
        <v>3.1E-2</v>
      </c>
      <c r="L233" s="111">
        <f t="shared" si="96"/>
        <v>3.5000000000000003E-2</v>
      </c>
      <c r="M233" s="111">
        <f t="shared" si="96"/>
        <v>4.1499999999999995E-2</v>
      </c>
      <c r="N233" s="111">
        <f t="shared" si="96"/>
        <v>4.4999999999999998E-2</v>
      </c>
      <c r="O233" s="111">
        <f t="shared" si="96"/>
        <v>0.05</v>
      </c>
      <c r="P233" s="111">
        <f t="shared" si="96"/>
        <v>0.05</v>
      </c>
      <c r="Q233" s="111">
        <f t="shared" si="96"/>
        <v>0.05</v>
      </c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97"/>
        <v>1</v>
      </c>
      <c r="H234" s="109">
        <f t="shared" si="97"/>
        <v>0.03</v>
      </c>
      <c r="I234" s="16"/>
      <c r="J234" s="111">
        <f t="shared" si="98"/>
        <v>3.4999999999999996E-2</v>
      </c>
      <c r="K234" s="111">
        <f t="shared" si="96"/>
        <v>4.0999999999999995E-2</v>
      </c>
      <c r="L234" s="111">
        <f t="shared" si="96"/>
        <v>4.4999999999999998E-2</v>
      </c>
      <c r="M234" s="111">
        <f t="shared" si="96"/>
        <v>5.1499999999999997E-2</v>
      </c>
      <c r="N234" s="111">
        <f t="shared" si="96"/>
        <v>5.5E-2</v>
      </c>
      <c r="O234" s="111">
        <f t="shared" si="96"/>
        <v>0.06</v>
      </c>
      <c r="P234" s="111">
        <f t="shared" si="96"/>
        <v>0.06</v>
      </c>
      <c r="Q234" s="111">
        <f t="shared" si="96"/>
        <v>0.06</v>
      </c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97"/>
        <v>0</v>
      </c>
      <c r="H235" s="111">
        <f t="shared" si="97"/>
        <v>7.0000000000000007E-2</v>
      </c>
      <c r="I235" s="16"/>
      <c r="J235" s="111">
        <f t="shared" si="98"/>
        <v>7.0000000000000007E-2</v>
      </c>
      <c r="K235" s="111">
        <f t="shared" si="96"/>
        <v>7.0000000000000007E-2</v>
      </c>
      <c r="L235" s="111">
        <f t="shared" si="96"/>
        <v>7.0000000000000007E-2</v>
      </c>
      <c r="M235" s="111">
        <f t="shared" si="96"/>
        <v>7.0000000000000007E-2</v>
      </c>
      <c r="N235" s="111">
        <f t="shared" si="96"/>
        <v>7.0000000000000007E-2</v>
      </c>
      <c r="O235" s="111">
        <f t="shared" si="96"/>
        <v>7.0000000000000007E-2</v>
      </c>
      <c r="P235" s="111">
        <f t="shared" si="96"/>
        <v>7.0000000000000007E-2</v>
      </c>
      <c r="Q235" s="111">
        <f t="shared" si="96"/>
        <v>7.0000000000000007E-2</v>
      </c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97"/>
        <v>0</v>
      </c>
      <c r="H236" s="112">
        <f t="shared" si="97"/>
        <v>8.5000000000000006E-2</v>
      </c>
      <c r="I236" s="17"/>
      <c r="J236" s="112">
        <f t="shared" si="98"/>
        <v>8.5000000000000006E-2</v>
      </c>
      <c r="K236" s="112">
        <f t="shared" si="96"/>
        <v>8.5000000000000006E-2</v>
      </c>
      <c r="L236" s="112">
        <f t="shared" si="96"/>
        <v>8.5000000000000006E-2</v>
      </c>
      <c r="M236" s="112">
        <f t="shared" si="96"/>
        <v>8.5000000000000006E-2</v>
      </c>
      <c r="N236" s="112">
        <f t="shared" si="96"/>
        <v>8.5000000000000006E-2</v>
      </c>
      <c r="O236" s="112">
        <f t="shared" si="96"/>
        <v>8.5000000000000006E-2</v>
      </c>
      <c r="P236" s="112">
        <f t="shared" si="96"/>
        <v>8.5000000000000006E-2</v>
      </c>
      <c r="Q236" s="112">
        <f t="shared" si="96"/>
        <v>8.5000000000000006E-2</v>
      </c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>
        <f ca="1">J225*J232</f>
        <v>0.35000000000000003</v>
      </c>
      <c r="K239" s="82">
        <f t="shared" ref="K239:Q239" ca="1" si="99">K225*K232</f>
        <v>0.35000000000000003</v>
      </c>
      <c r="L239" s="82">
        <f t="shared" ca="1" si="99"/>
        <v>0.35000000000000003</v>
      </c>
      <c r="M239" s="82">
        <f t="shared" ca="1" si="99"/>
        <v>0.35000000000000003</v>
      </c>
      <c r="N239" s="82">
        <f t="shared" ca="1" si="99"/>
        <v>0.35000000000000003</v>
      </c>
      <c r="O239" s="82">
        <f t="shared" ca="1" si="99"/>
        <v>0.35000000000000003</v>
      </c>
      <c r="P239" s="82">
        <f t="shared" ca="1" si="99"/>
        <v>0.35000000000000003</v>
      </c>
      <c r="Q239" s="82">
        <f t="shared" ca="1" si="99"/>
        <v>0.35000000000000003</v>
      </c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>
        <f t="shared" ref="J240:Q243" ca="1" si="100">J226*J233</f>
        <v>0</v>
      </c>
      <c r="K240" s="72">
        <f t="shared" ca="1" si="100"/>
        <v>0</v>
      </c>
      <c r="L240" s="72">
        <f t="shared" ca="1" si="100"/>
        <v>0</v>
      </c>
      <c r="M240" s="72">
        <f t="shared" ca="1" si="100"/>
        <v>0</v>
      </c>
      <c r="N240" s="72">
        <f t="shared" ca="1" si="100"/>
        <v>0</v>
      </c>
      <c r="O240" s="72">
        <f t="shared" ca="1" si="100"/>
        <v>0</v>
      </c>
      <c r="P240" s="72">
        <f t="shared" ca="1" si="100"/>
        <v>0</v>
      </c>
      <c r="Q240" s="72">
        <f t="shared" ca="1" si="100"/>
        <v>0</v>
      </c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>
        <f t="shared" ca="1" si="100"/>
        <v>9.0260513513925407</v>
      </c>
      <c r="K241" s="72">
        <f t="shared" ca="1" si="100"/>
        <v>9.1198947655586977</v>
      </c>
      <c r="L241" s="72">
        <f t="shared" ca="1" si="100"/>
        <v>8.2764152125908694</v>
      </c>
      <c r="M241" s="72">
        <f t="shared" ca="1" si="100"/>
        <v>7.5631178874009022</v>
      </c>
      <c r="N241" s="72">
        <f t="shared" ca="1" si="100"/>
        <v>6.0978656750030806</v>
      </c>
      <c r="O241" s="72">
        <f t="shared" ca="1" si="100"/>
        <v>4.2317233339705576</v>
      </c>
      <c r="P241" s="72">
        <f t="shared" ca="1" si="100"/>
        <v>1.5619989157245371</v>
      </c>
      <c r="Q241" s="72">
        <f t="shared" ca="1" si="100"/>
        <v>8.3356911053042354E-2</v>
      </c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>
        <f t="shared" ca="1" si="100"/>
        <v>15.750000000000002</v>
      </c>
      <c r="K242" s="72">
        <f t="shared" ca="1" si="100"/>
        <v>15.750000000000002</v>
      </c>
      <c r="L242" s="72">
        <f t="shared" ca="1" si="100"/>
        <v>15.750000000000002</v>
      </c>
      <c r="M242" s="72">
        <f t="shared" ca="1" si="100"/>
        <v>15.750000000000002</v>
      </c>
      <c r="N242" s="72">
        <f t="shared" ca="1" si="100"/>
        <v>15.750000000000002</v>
      </c>
      <c r="O242" s="72">
        <f t="shared" ca="1" si="100"/>
        <v>15.750000000000002</v>
      </c>
      <c r="P242" s="72">
        <f t="shared" ca="1" si="100"/>
        <v>15.750000000000002</v>
      </c>
      <c r="Q242" s="72">
        <f t="shared" ca="1" si="100"/>
        <v>14.056491211488876</v>
      </c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>
        <f t="shared" ca="1" si="100"/>
        <v>8.8772845953002619</v>
      </c>
      <c r="K243" s="73">
        <f t="shared" ca="1" si="100"/>
        <v>9.6653464131598152</v>
      </c>
      <c r="L243" s="73">
        <f t="shared" ca="1" si="100"/>
        <v>10.523366721377657</v>
      </c>
      <c r="M243" s="73">
        <f t="shared" ca="1" si="100"/>
        <v>10.970609807036208</v>
      </c>
      <c r="N243" s="73">
        <f t="shared" ca="1" si="100"/>
        <v>10.970609807036208</v>
      </c>
      <c r="O243" s="73">
        <f t="shared" ca="1" si="100"/>
        <v>10.970609807036208</v>
      </c>
      <c r="P243" s="73">
        <f t="shared" ca="1" si="100"/>
        <v>10.970609807036208</v>
      </c>
      <c r="Q243" s="73">
        <f t="shared" ca="1" si="100"/>
        <v>10.970609807036208</v>
      </c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>
        <f ca="1">SUM(J239:J243)</f>
        <v>34.0033359466928</v>
      </c>
      <c r="K244" s="51">
        <f t="shared" ref="K244:Q244" ca="1" si="101">SUM(K239:K243)</f>
        <v>34.885241178718516</v>
      </c>
      <c r="L244" s="51">
        <f t="shared" ca="1" si="101"/>
        <v>34.899781933968526</v>
      </c>
      <c r="M244" s="51">
        <f t="shared" ca="1" si="101"/>
        <v>34.633727694437113</v>
      </c>
      <c r="N244" s="51">
        <f t="shared" ca="1" si="101"/>
        <v>33.168475482039291</v>
      </c>
      <c r="O244" s="51">
        <f t="shared" ca="1" si="101"/>
        <v>31.302333141006766</v>
      </c>
      <c r="P244" s="51">
        <f t="shared" ca="1" si="101"/>
        <v>28.632608722760747</v>
      </c>
      <c r="Q244" s="51">
        <f t="shared" ca="1" si="101"/>
        <v>25.460457929578126</v>
      </c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>
        <f>IF(YEAR(J$219)-YEAR($I$177)&gt;$G247,0,J242)</f>
        <v>0</v>
      </c>
      <c r="K247" s="82">
        <f t="shared" ref="K247:Q247" si="102">IF(YEAR(K$219)-YEAR($I$177)&gt;$G247,0,K242)</f>
        <v>0</v>
      </c>
      <c r="L247" s="82">
        <f t="shared" si="102"/>
        <v>0</v>
      </c>
      <c r="M247" s="82">
        <f t="shared" si="102"/>
        <v>0</v>
      </c>
      <c r="N247" s="82">
        <f t="shared" si="102"/>
        <v>0</v>
      </c>
      <c r="O247" s="82">
        <f t="shared" si="102"/>
        <v>0</v>
      </c>
      <c r="P247" s="82">
        <f t="shared" si="102"/>
        <v>0</v>
      </c>
      <c r="Q247" s="82">
        <f t="shared" si="102"/>
        <v>0</v>
      </c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03">V13</f>
        <v>3</v>
      </c>
      <c r="H248" s="17"/>
      <c r="I248" s="17"/>
      <c r="J248" s="73">
        <f t="shared" ref="J248:Q248" ca="1" si="104">IF(YEAR(J$219)-YEAR($I$177)&gt;$G248,0,J243)</f>
        <v>8.8772845953002619</v>
      </c>
      <c r="K248" s="73">
        <f t="shared" ca="1" si="104"/>
        <v>9.6653464131598152</v>
      </c>
      <c r="L248" s="73">
        <f t="shared" ca="1" si="104"/>
        <v>10.523366721377657</v>
      </c>
      <c r="M248" s="73">
        <f t="shared" si="104"/>
        <v>0</v>
      </c>
      <c r="N248" s="73">
        <f t="shared" si="104"/>
        <v>0</v>
      </c>
      <c r="O248" s="73">
        <f t="shared" si="104"/>
        <v>0</v>
      </c>
      <c r="P248" s="73">
        <f t="shared" si="104"/>
        <v>0</v>
      </c>
      <c r="Q248" s="73">
        <f t="shared" si="104"/>
        <v>0</v>
      </c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>
        <f ca="1">SUM(J247:J248)</f>
        <v>8.8772845953002619</v>
      </c>
      <c r="K249" s="51">
        <f t="shared" ref="K249:Q249" ca="1" si="105">SUM(K247:K248)</f>
        <v>9.6653464131598152</v>
      </c>
      <c r="L249" s="51">
        <f t="shared" ca="1" si="105"/>
        <v>10.523366721377657</v>
      </c>
      <c r="M249" s="51">
        <f t="shared" si="105"/>
        <v>0</v>
      </c>
      <c r="N249" s="51">
        <f t="shared" si="105"/>
        <v>0</v>
      </c>
      <c r="O249" s="51">
        <f t="shared" si="105"/>
        <v>0</v>
      </c>
      <c r="P249" s="51">
        <f t="shared" si="105"/>
        <v>0</v>
      </c>
      <c r="Q249" s="51">
        <f t="shared" si="105"/>
        <v>0</v>
      </c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>
        <f>MAX(0, MIN($G252/$H252,$G252-SUM($I252:I252)))</f>
        <v>0.1</v>
      </c>
      <c r="K252" s="82">
        <f>MAX(0, MIN($G252/$H252,$G252-SUM($I252:J252)))</f>
        <v>0.1</v>
      </c>
      <c r="L252" s="82">
        <f>MAX(0, MIN($G252/$H252,$G252-SUM($I252:K252)))</f>
        <v>0.1</v>
      </c>
      <c r="M252" s="82">
        <f>MAX(0, MIN($G252/$H252,$G252-SUM($I252:L252)))</f>
        <v>0.1</v>
      </c>
      <c r="N252" s="82">
        <f>MAX(0, MIN($G252/$H252,$G252-SUM($I252:M252)))</f>
        <v>9.9999999999999978E-2</v>
      </c>
      <c r="O252" s="82">
        <f>MAX(0, MIN($G252/$H252,$G252-SUM($I252:N252)))</f>
        <v>0</v>
      </c>
      <c r="P252" s="82">
        <f>MAX(0, MIN($G252/$H252,$G252-SUM($I252:O252)))</f>
        <v>0</v>
      </c>
      <c r="Q252" s="82">
        <f>MAX(0, MIN($G252/$H252,$G252-SUM($I252:P252)))</f>
        <v>0</v>
      </c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>
        <f>MAX(0, MIN($G253/$H253,$G253-SUM($I253:I253)))</f>
        <v>0.57291666666666663</v>
      </c>
      <c r="K253" s="72">
        <f>MAX(0, MIN($G253/$H253,$G253-SUM($I253:J253)))</f>
        <v>0.57291666666666663</v>
      </c>
      <c r="L253" s="72">
        <f>MAX(0, MIN($G253/$H253,$G253-SUM($I253:K253)))</f>
        <v>0.57291666666666663</v>
      </c>
      <c r="M253" s="72">
        <f>MAX(0, MIN($G253/$H253,$G253-SUM($I253:L253)))</f>
        <v>0.57291666666666663</v>
      </c>
      <c r="N253" s="72">
        <f>MAX(0, MIN($G253/$H253,$G253-SUM($I253:M253)))</f>
        <v>0.57291666666666663</v>
      </c>
      <c r="O253" s="72">
        <f>MAX(0, MIN($G253/$H253,$G253-SUM($I253:N253)))</f>
        <v>0.57291666666666663</v>
      </c>
      <c r="P253" s="72">
        <f>MAX(0, MIN($G253/$H253,$G253-SUM($I253:O253)))</f>
        <v>4.4408920985006262E-16</v>
      </c>
      <c r="Q253" s="72">
        <f>MAX(0, MIN($G253/$H253,$G253-SUM($I253:P253)))</f>
        <v>0</v>
      </c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>
        <f>MAX(0, MIN($G254/$H254,$G254-SUM($I254:I254)))</f>
        <v>0.5625</v>
      </c>
      <c r="K254" s="72">
        <f>MAX(0, MIN($G254/$H254,$G254-SUM($I254:J254)))</f>
        <v>0.5625</v>
      </c>
      <c r="L254" s="72">
        <f>MAX(0, MIN($G254/$H254,$G254-SUM($I254:K254)))</f>
        <v>0.5625</v>
      </c>
      <c r="M254" s="72">
        <f>MAX(0, MIN($G254/$H254,$G254-SUM($I254:L254)))</f>
        <v>0.5625</v>
      </c>
      <c r="N254" s="72">
        <f>MAX(0, MIN($G254/$H254,$G254-SUM($I254:M254)))</f>
        <v>0.5625</v>
      </c>
      <c r="O254" s="72">
        <f>MAX(0, MIN($G254/$H254,$G254-SUM($I254:N254)))</f>
        <v>0.5625</v>
      </c>
      <c r="P254" s="72">
        <f>MAX(0, MIN($G254/$H254,$G254-SUM($I254:O254)))</f>
        <v>0.5625</v>
      </c>
      <c r="Q254" s="72">
        <f>MAX(0, MIN($G254/$H254,$G254-SUM($I254:P254)))</f>
        <v>0.5625</v>
      </c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>
        <f>MAX(0, MIN($G255/$H255,$G255-SUM($I255:I255)))</f>
        <v>0.25</v>
      </c>
      <c r="K255" s="73">
        <f>MAX(0, MIN($G255/$H255,$G255-SUM($I255:J255)))</f>
        <v>0.25</v>
      </c>
      <c r="L255" s="73">
        <f>MAX(0, MIN($G255/$H255,$G255-SUM($I255:K255)))</f>
        <v>0.25</v>
      </c>
      <c r="M255" s="73">
        <f>MAX(0, MIN($G255/$H255,$G255-SUM($I255:L255)))</f>
        <v>0.25</v>
      </c>
      <c r="N255" s="73">
        <f>MAX(0, MIN($G255/$H255,$G255-SUM($I255:M255)))</f>
        <v>0.25</v>
      </c>
      <c r="O255" s="73">
        <f>MAX(0, MIN($G255/$H255,$G255-SUM($I255:N255)))</f>
        <v>0.25</v>
      </c>
      <c r="P255" s="73">
        <f>MAX(0, MIN($G255/$H255,$G255-SUM($I255:O255)))</f>
        <v>0.25</v>
      </c>
      <c r="Q255" s="73">
        <f>MAX(0, MIN($G255/$H255,$G255-SUM($I255:P255)))</f>
        <v>0.25</v>
      </c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>
        <f>SUM(J252:J255)</f>
        <v>1.4854166666666666</v>
      </c>
      <c r="K256" s="51">
        <f t="shared" ref="K256:Q256" si="106">SUM(K252:K255)</f>
        <v>1.4854166666666666</v>
      </c>
      <c r="L256" s="51">
        <f t="shared" si="106"/>
        <v>1.4854166666666666</v>
      </c>
      <c r="M256" s="51">
        <f t="shared" si="106"/>
        <v>1.4854166666666666</v>
      </c>
      <c r="N256" s="51">
        <f t="shared" si="106"/>
        <v>1.4854166666666666</v>
      </c>
      <c r="O256" s="51">
        <f t="shared" si="106"/>
        <v>1.3854166666666665</v>
      </c>
      <c r="P256" s="51">
        <f t="shared" si="106"/>
        <v>0.81250000000000044</v>
      </c>
      <c r="Q256" s="51">
        <f t="shared" si="106"/>
        <v>0.8125</v>
      </c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>
        <f ca="1">J244</f>
        <v>34.0033359466928</v>
      </c>
      <c r="K259" s="82">
        <f t="shared" ref="K259:Q259" ca="1" si="107">K244</f>
        <v>34.885241178718516</v>
      </c>
      <c r="L259" s="82">
        <f t="shared" ca="1" si="107"/>
        <v>34.899781933968526</v>
      </c>
      <c r="M259" s="82">
        <f t="shared" ca="1" si="107"/>
        <v>34.633727694437113</v>
      </c>
      <c r="N259" s="82">
        <f t="shared" ca="1" si="107"/>
        <v>33.168475482039291</v>
      </c>
      <c r="O259" s="82">
        <f t="shared" ca="1" si="107"/>
        <v>31.302333141006766</v>
      </c>
      <c r="P259" s="82">
        <f t="shared" ca="1" si="107"/>
        <v>28.632608722760747</v>
      </c>
      <c r="Q259" s="82">
        <f t="shared" ca="1" si="107"/>
        <v>25.460457929578126</v>
      </c>
    </row>
    <row r="260" spans="1:24" x14ac:dyDescent="0.2">
      <c r="B260" s="20" t="s">
        <v>157</v>
      </c>
      <c r="J260" s="50">
        <f>J256</f>
        <v>1.4854166666666666</v>
      </c>
      <c r="K260" s="50">
        <f t="shared" ref="K260:Q260" si="108">K256</f>
        <v>1.4854166666666666</v>
      </c>
      <c r="L260" s="50">
        <f t="shared" si="108"/>
        <v>1.4854166666666666</v>
      </c>
      <c r="M260" s="50">
        <f t="shared" si="108"/>
        <v>1.4854166666666666</v>
      </c>
      <c r="N260" s="50">
        <f t="shared" si="108"/>
        <v>1.4854166666666666</v>
      </c>
      <c r="O260" s="50">
        <f t="shared" si="108"/>
        <v>1.3854166666666665</v>
      </c>
      <c r="P260" s="50">
        <f t="shared" si="108"/>
        <v>0.81250000000000044</v>
      </c>
      <c r="Q260" s="50">
        <f t="shared" si="108"/>
        <v>0.8125</v>
      </c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>
        <f ca="1">SUM(J259:J260)</f>
        <v>35.488752613359466</v>
      </c>
      <c r="K261" s="51">
        <f t="shared" ref="K261:Q261" ca="1" si="109">SUM(K259:K260)</f>
        <v>36.370657845385182</v>
      </c>
      <c r="L261" s="51">
        <f t="shared" ca="1" si="109"/>
        <v>36.385198600635192</v>
      </c>
      <c r="M261" s="51">
        <f t="shared" ca="1" si="109"/>
        <v>36.119144361103778</v>
      </c>
      <c r="N261" s="51">
        <f t="shared" ca="1" si="109"/>
        <v>34.653892148705957</v>
      </c>
      <c r="O261" s="51">
        <f t="shared" ca="1" si="109"/>
        <v>32.687749807673434</v>
      </c>
      <c r="P261" s="51">
        <f t="shared" ca="1" si="109"/>
        <v>29.445108722760747</v>
      </c>
      <c r="Q261" s="51">
        <f t="shared" ca="1" si="109"/>
        <v>26.272957929578126</v>
      </c>
    </row>
    <row r="262" spans="1:24" x14ac:dyDescent="0.2">
      <c r="B262" s="20" t="s">
        <v>159</v>
      </c>
      <c r="J262" s="50">
        <f ca="1">-J171</f>
        <v>-1.2500000000000001E-2</v>
      </c>
      <c r="K262" s="50">
        <f t="shared" ref="K262:Q262" ca="1" si="110">-K171</f>
        <v>-1.2500000000000001E-2</v>
      </c>
      <c r="L262" s="50">
        <f t="shared" ca="1" si="110"/>
        <v>-1.2500000000000001E-2</v>
      </c>
      <c r="M262" s="50">
        <f t="shared" ca="1" si="110"/>
        <v>-1.2500000000000001E-2</v>
      </c>
      <c r="N262" s="50">
        <f t="shared" ca="1" si="110"/>
        <v>-1.2500000000000001E-2</v>
      </c>
      <c r="O262" s="50">
        <f t="shared" ca="1" si="110"/>
        <v>-1.2500000000000001E-2</v>
      </c>
      <c r="P262" s="50">
        <f t="shared" ca="1" si="110"/>
        <v>-1.2500000000000001E-2</v>
      </c>
      <c r="Q262" s="50">
        <f t="shared" ca="1" si="110"/>
        <v>-1.2500000000000001E-2</v>
      </c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>
        <f ca="1">SUM(J261:J262)</f>
        <v>35.476252613359463</v>
      </c>
      <c r="K263" s="51">
        <f t="shared" ref="K263:Q263" ca="1" si="111">SUM(K261:K262)</f>
        <v>36.358157845385179</v>
      </c>
      <c r="L263" s="51">
        <f t="shared" ca="1" si="111"/>
        <v>36.372698600635189</v>
      </c>
      <c r="M263" s="51">
        <f t="shared" ca="1" si="111"/>
        <v>36.106644361103776</v>
      </c>
      <c r="N263" s="51">
        <f t="shared" ca="1" si="111"/>
        <v>34.641392148705954</v>
      </c>
      <c r="O263" s="51">
        <f t="shared" ca="1" si="111"/>
        <v>32.675249807673431</v>
      </c>
      <c r="P263" s="51">
        <f t="shared" ca="1" si="111"/>
        <v>29.432608722760747</v>
      </c>
      <c r="Q263" s="51">
        <f t="shared" ca="1" si="111"/>
        <v>26.260457929578127</v>
      </c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>
        <f ca="1">J249</f>
        <v>8.8772845953002619</v>
      </c>
      <c r="K266" s="82">
        <f t="shared" ref="K266:Q266" ca="1" si="112">K249</f>
        <v>9.6653464131598152</v>
      </c>
      <c r="L266" s="82">
        <f t="shared" ca="1" si="112"/>
        <v>10.523366721377657</v>
      </c>
      <c r="M266" s="82">
        <f t="shared" si="112"/>
        <v>0</v>
      </c>
      <c r="N266" s="82">
        <f t="shared" si="112"/>
        <v>0</v>
      </c>
      <c r="O266" s="82">
        <f t="shared" si="112"/>
        <v>0</v>
      </c>
      <c r="P266" s="82">
        <f t="shared" si="112"/>
        <v>0</v>
      </c>
      <c r="Q266" s="82">
        <f t="shared" si="112"/>
        <v>0</v>
      </c>
    </row>
    <row r="267" spans="1:24" x14ac:dyDescent="0.2">
      <c r="B267" s="20" t="s">
        <v>157</v>
      </c>
      <c r="J267" s="50">
        <f>J256</f>
        <v>1.4854166666666666</v>
      </c>
      <c r="K267" s="50">
        <f t="shared" ref="K267:Q267" si="113">K256</f>
        <v>1.4854166666666666</v>
      </c>
      <c r="L267" s="50">
        <f t="shared" si="113"/>
        <v>1.4854166666666666</v>
      </c>
      <c r="M267" s="50">
        <f t="shared" si="113"/>
        <v>1.4854166666666666</v>
      </c>
      <c r="N267" s="50">
        <f t="shared" si="113"/>
        <v>1.4854166666666666</v>
      </c>
      <c r="O267" s="50">
        <f t="shared" si="113"/>
        <v>1.3854166666666665</v>
      </c>
      <c r="P267" s="50">
        <f t="shared" si="113"/>
        <v>0.81250000000000044</v>
      </c>
      <c r="Q267" s="50">
        <f t="shared" si="113"/>
        <v>0.8125</v>
      </c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>
        <f ca="1">SUM(J266:J267)</f>
        <v>10.362701261966929</v>
      </c>
      <c r="K268" s="51">
        <f t="shared" ref="K268:Q268" ca="1" si="114">SUM(K266:K267)</f>
        <v>11.150763079826483</v>
      </c>
      <c r="L268" s="51">
        <f t="shared" ca="1" si="114"/>
        <v>12.008783388044325</v>
      </c>
      <c r="M268" s="51">
        <f t="shared" si="114"/>
        <v>1.4854166666666666</v>
      </c>
      <c r="N268" s="51">
        <f t="shared" si="114"/>
        <v>1.4854166666666666</v>
      </c>
      <c r="O268" s="51">
        <f t="shared" si="114"/>
        <v>1.3854166666666665</v>
      </c>
      <c r="P268" s="51">
        <f t="shared" si="114"/>
        <v>0.81250000000000044</v>
      </c>
      <c r="Q268" s="51">
        <f t="shared" si="114"/>
        <v>0.8125</v>
      </c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115">J$116</f>
        <v>43100</v>
      </c>
      <c r="K275" s="54">
        <f t="shared" si="115"/>
        <v>43465</v>
      </c>
      <c r="L275" s="54">
        <f t="shared" si="115"/>
        <v>43830</v>
      </c>
      <c r="M275" s="54">
        <f t="shared" si="115"/>
        <v>44196</v>
      </c>
      <c r="N275" s="54">
        <f t="shared" si="115"/>
        <v>44561</v>
      </c>
      <c r="O275" s="54">
        <f t="shared" si="115"/>
        <v>44926</v>
      </c>
      <c r="P275" s="54">
        <f t="shared" si="115"/>
        <v>45291</v>
      </c>
      <c r="Q275" s="54">
        <f t="shared" si="115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116">I$116</f>
        <v>42735</v>
      </c>
      <c r="J303" s="54">
        <f t="shared" ref="J303:Q303" si="117">J$116</f>
        <v>43100</v>
      </c>
      <c r="K303" s="54">
        <f t="shared" si="117"/>
        <v>43465</v>
      </c>
      <c r="L303" s="54">
        <f t="shared" si="117"/>
        <v>43830</v>
      </c>
      <c r="M303" s="54">
        <f t="shared" si="117"/>
        <v>44196</v>
      </c>
      <c r="N303" s="54">
        <f t="shared" si="117"/>
        <v>44561</v>
      </c>
      <c r="O303" s="54">
        <f t="shared" si="117"/>
        <v>44926</v>
      </c>
      <c r="P303" s="54">
        <f t="shared" si="117"/>
        <v>45291</v>
      </c>
      <c r="Q303" s="54">
        <f t="shared" si="117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D5F0-E158-403C-97CC-73F9B871AC9B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202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 ca="1"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>
        <f ca="1">IF($G59=1,-J$263,0)</f>
        <v>-35.476252613359463</v>
      </c>
      <c r="K59" s="49">
        <f t="shared" ref="K59:Q59" ca="1" si="12">IF($G59=1,-K$263,0)</f>
        <v>-36.358157845385179</v>
      </c>
      <c r="L59" s="49">
        <f t="shared" ca="1" si="12"/>
        <v>-36.372698600635189</v>
      </c>
      <c r="M59" s="49">
        <f t="shared" ca="1" si="12"/>
        <v>-36.106644361103776</v>
      </c>
      <c r="N59" s="49">
        <f t="shared" ca="1" si="12"/>
        <v>-34.641392148705954</v>
      </c>
      <c r="O59" s="49">
        <f t="shared" ca="1" si="12"/>
        <v>-32.675249807673431</v>
      </c>
      <c r="P59" s="49">
        <f t="shared" ca="1" si="12"/>
        <v>-29.432608722760751</v>
      </c>
      <c r="Q59" s="49">
        <f t="shared" ca="1" si="12"/>
        <v>-26.260457929577836</v>
      </c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 ca="1">J59+J55</f>
        <v>41.173747386640542</v>
      </c>
      <c r="K60" s="51">
        <f t="shared" ref="K60:Q60" ca="1" si="13">K59+K55</f>
        <v>44.890842154614816</v>
      </c>
      <c r="L60" s="51">
        <f t="shared" ca="1" si="13"/>
        <v>50.563731399364826</v>
      </c>
      <c r="M60" s="51">
        <f t="shared" ca="1" si="13"/>
        <v>56.045971438896231</v>
      </c>
      <c r="N60" s="51">
        <f t="shared" ca="1" si="13"/>
        <v>62.118854441294054</v>
      </c>
      <c r="O60" s="51">
        <f t="shared" ca="1" si="13"/>
        <v>67.955406645926587</v>
      </c>
      <c r="P60" s="51">
        <f t="shared" ca="1" si="13"/>
        <v>75.223273988983252</v>
      </c>
      <c r="Q60" s="51">
        <f t="shared" ca="1" si="13"/>
        <v>82.581660090635935</v>
      </c>
    </row>
    <row r="61" spans="2:17" x14ac:dyDescent="0.2">
      <c r="B61" s="20"/>
    </row>
    <row r="62" spans="2:17" x14ac:dyDescent="0.2">
      <c r="B62" s="20" t="s">
        <v>96</v>
      </c>
      <c r="J62" s="49">
        <f ca="1">-J60*$H$36</f>
        <v>-14.410811585324188</v>
      </c>
      <c r="K62" s="49">
        <f t="shared" ref="K62:Q62" ca="1" si="14">-K60*$H$36</f>
        <v>-15.711794754115184</v>
      </c>
      <c r="L62" s="49">
        <f t="shared" ca="1" si="14"/>
        <v>-17.697305989777689</v>
      </c>
      <c r="M62" s="49">
        <f t="shared" ca="1" si="14"/>
        <v>-19.616090003613678</v>
      </c>
      <c r="N62" s="49">
        <f t="shared" ca="1" si="14"/>
        <v>-21.741599054452919</v>
      </c>
      <c r="O62" s="49">
        <f t="shared" ca="1" si="14"/>
        <v>-23.784392326074304</v>
      </c>
      <c r="P62" s="49">
        <f t="shared" ca="1" si="14"/>
        <v>-26.328145896144136</v>
      </c>
      <c r="Q62" s="49">
        <f t="shared" ca="1" si="14"/>
        <v>-28.903581031722574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 ca="1">J62+J60</f>
        <v>26.762935801316353</v>
      </c>
      <c r="K63" s="51">
        <f t="shared" ref="K63:Q63" ca="1" si="15">K62+K60</f>
        <v>29.179047400499634</v>
      </c>
      <c r="L63" s="51">
        <f t="shared" ca="1" si="15"/>
        <v>32.866425409587137</v>
      </c>
      <c r="M63" s="51">
        <f t="shared" ca="1" si="15"/>
        <v>36.429881435282553</v>
      </c>
      <c r="N63" s="51">
        <f t="shared" ca="1" si="15"/>
        <v>40.377255386841135</v>
      </c>
      <c r="O63" s="51">
        <f t="shared" ca="1" si="15"/>
        <v>44.171014319852283</v>
      </c>
      <c r="P63" s="51">
        <f t="shared" ca="1" si="15"/>
        <v>48.895128092839116</v>
      </c>
      <c r="Q63" s="51">
        <f t="shared" ca="1" si="15"/>
        <v>53.678079058913362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ca="1" si="16">IFERROR(J63/J$47,0)</f>
        <v>7.4527807856631448E-2</v>
      </c>
      <c r="K64" s="59">
        <f t="shared" ca="1" si="16"/>
        <v>7.6656650537506324E-2</v>
      </c>
      <c r="L64" s="59">
        <f t="shared" ca="1" si="16"/>
        <v>8.0695148325532609E-2</v>
      </c>
      <c r="M64" s="59">
        <f t="shared" ca="1" si="16"/>
        <v>8.4381422891450633E-2</v>
      </c>
      <c r="N64" s="59">
        <f t="shared" ca="1" si="16"/>
        <v>8.9071052134203368E-2</v>
      </c>
      <c r="O64" s="59">
        <f t="shared" ca="1" si="16"/>
        <v>9.3692282792779483E-2</v>
      </c>
      <c r="P64" s="59">
        <f t="shared" ca="1" si="16"/>
        <v>9.9723772021335519E-2</v>
      </c>
      <c r="Q64" s="59">
        <f t="shared" ca="1" si="16"/>
        <v>0.10526808811587023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ca="1" si="17">IFERROR(J63/I63-1,0)</f>
        <v>0</v>
      </c>
      <c r="K65" s="57">
        <f t="shared" ca="1" si="17"/>
        <v>9.0278272052068509E-2</v>
      </c>
      <c r="L65" s="57">
        <f t="shared" ca="1" si="17"/>
        <v>0.12637074673741289</v>
      </c>
      <c r="M65" s="57">
        <f t="shared" ca="1" si="17"/>
        <v>0.10842237880411409</v>
      </c>
      <c r="N65" s="57">
        <f t="shared" ca="1" si="17"/>
        <v>0.10835538838003256</v>
      </c>
      <c r="O65" s="57">
        <f t="shared" ca="1" si="17"/>
        <v>9.3957820972832229E-2</v>
      </c>
      <c r="P65" s="57">
        <f t="shared" ca="1" si="17"/>
        <v>0.10695053862196735</v>
      </c>
      <c r="Q65" s="57">
        <f t="shared" ca="1" si="17"/>
        <v>9.7820604069032591E-2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8">O69</f>
        <v>0.04</v>
      </c>
      <c r="Q69" s="61">
        <f t="shared" si="18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9">J70</f>
        <v>0.4</v>
      </c>
      <c r="L70" s="61">
        <f t="shared" si="19"/>
        <v>0.4</v>
      </c>
      <c r="M70" s="61">
        <f t="shared" si="19"/>
        <v>0.4</v>
      </c>
      <c r="N70" s="61">
        <f t="shared" si="19"/>
        <v>0.4</v>
      </c>
      <c r="O70" s="61">
        <f t="shared" si="19"/>
        <v>0.4</v>
      </c>
      <c r="P70" s="61">
        <f t="shared" si="19"/>
        <v>0.4</v>
      </c>
      <c r="Q70" s="61">
        <f t="shared" si="19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9"/>
        <v>0.26315789473684209</v>
      </c>
      <c r="L71" s="62">
        <f t="shared" si="19"/>
        <v>0.26315789473684209</v>
      </c>
      <c r="M71" s="62">
        <f t="shared" si="19"/>
        <v>0.26315789473684209</v>
      </c>
      <c r="N71" s="62">
        <f t="shared" si="19"/>
        <v>0.26315789473684209</v>
      </c>
      <c r="O71" s="62">
        <f t="shared" si="19"/>
        <v>0.26315789473684209</v>
      </c>
      <c r="P71" s="62">
        <f t="shared" si="19"/>
        <v>0.26315789473684209</v>
      </c>
      <c r="Q71" s="62">
        <f t="shared" si="19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9"/>
        <v>4.9707602339181284E-2</v>
      </c>
      <c r="L72" s="62">
        <f t="shared" si="19"/>
        <v>4.9707602339181284E-2</v>
      </c>
      <c r="M72" s="62">
        <f t="shared" si="19"/>
        <v>4.9707602339181284E-2</v>
      </c>
      <c r="N72" s="62">
        <f t="shared" si="19"/>
        <v>4.9707602339181284E-2</v>
      </c>
      <c r="O72" s="62">
        <f t="shared" si="19"/>
        <v>4.9707602339181284E-2</v>
      </c>
      <c r="P72" s="62">
        <f t="shared" si="19"/>
        <v>4.9707602339181284E-2</v>
      </c>
      <c r="Q72" s="62">
        <f t="shared" si="19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9"/>
        <v>4.9707602339181284E-2</v>
      </c>
      <c r="L73" s="76">
        <f t="shared" si="19"/>
        <v>4.9707602339181284E-2</v>
      </c>
      <c r="M73" s="76">
        <f t="shared" si="19"/>
        <v>4.9707602339181284E-2</v>
      </c>
      <c r="N73" s="76">
        <f t="shared" si="19"/>
        <v>4.9707602339181284E-2</v>
      </c>
      <c r="O73" s="76">
        <f t="shared" si="19"/>
        <v>4.9707602339181284E-2</v>
      </c>
      <c r="P73" s="76">
        <f t="shared" si="19"/>
        <v>4.9707602339181284E-2</v>
      </c>
      <c r="Q73" s="76">
        <f t="shared" si="19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>
        <f>I47</f>
        <v>342</v>
      </c>
      <c r="J84" s="82">
        <f t="shared" ref="J84:Q84" si="20">J47</f>
        <v>359.1</v>
      </c>
      <c r="K84" s="82">
        <f t="shared" si="20"/>
        <v>380.64600000000002</v>
      </c>
      <c r="L84" s="82">
        <f t="shared" si="20"/>
        <v>407.29122000000007</v>
      </c>
      <c r="M84" s="82">
        <f t="shared" si="20"/>
        <v>431.72869320000007</v>
      </c>
      <c r="N84" s="82">
        <f t="shared" si="20"/>
        <v>453.31512786000008</v>
      </c>
      <c r="O84" s="82">
        <f t="shared" si="20"/>
        <v>471.44773297440008</v>
      </c>
      <c r="P84" s="82">
        <f t="shared" si="20"/>
        <v>490.30564229337608</v>
      </c>
      <c r="Q84" s="82">
        <f t="shared" si="20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>
        <f>I84*I70</f>
        <v>136.80000000000001</v>
      </c>
      <c r="J85" s="87">
        <f t="shared" ref="J85:Q85" si="21">J84*J70</f>
        <v>143.64000000000001</v>
      </c>
      <c r="K85" s="87">
        <f t="shared" si="21"/>
        <v>152.25840000000002</v>
      </c>
      <c r="L85" s="87">
        <f t="shared" si="21"/>
        <v>162.91648800000004</v>
      </c>
      <c r="M85" s="87">
        <f t="shared" si="21"/>
        <v>172.69147728000004</v>
      </c>
      <c r="N85" s="87">
        <f t="shared" si="21"/>
        <v>181.32605114400005</v>
      </c>
      <c r="O85" s="87">
        <f t="shared" si="21"/>
        <v>188.57909318976004</v>
      </c>
      <c r="P85" s="87">
        <f t="shared" si="21"/>
        <v>196.12225691735046</v>
      </c>
      <c r="Q85" s="87">
        <f t="shared" si="21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I98/I84*F87</f>
        <v>94.73684210526315</v>
      </c>
      <c r="J88" s="92">
        <f>I88</f>
        <v>94.73684210526315</v>
      </c>
      <c r="K88" s="92">
        <f t="shared" ref="K88:Q88" si="22">J88</f>
        <v>94.73684210526315</v>
      </c>
      <c r="L88" s="92">
        <f t="shared" si="22"/>
        <v>94.73684210526315</v>
      </c>
      <c r="M88" s="92">
        <f t="shared" si="22"/>
        <v>94.73684210526315</v>
      </c>
      <c r="N88" s="92">
        <f t="shared" si="22"/>
        <v>94.73684210526315</v>
      </c>
      <c r="O88" s="92">
        <f t="shared" si="22"/>
        <v>94.73684210526315</v>
      </c>
      <c r="P88" s="92">
        <f t="shared" si="22"/>
        <v>94.73684210526315</v>
      </c>
      <c r="Q88" s="92">
        <f t="shared" si="22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I99/I85*F87</f>
        <v>118.42105263157893</v>
      </c>
      <c r="J89" s="93">
        <f t="shared" ref="J89:Q90" si="23">I89</f>
        <v>118.42105263157893</v>
      </c>
      <c r="K89" s="93">
        <f t="shared" si="23"/>
        <v>118.42105263157893</v>
      </c>
      <c r="L89" s="93">
        <f t="shared" si="23"/>
        <v>118.42105263157893</v>
      </c>
      <c r="M89" s="93">
        <f t="shared" si="23"/>
        <v>118.42105263157893</v>
      </c>
      <c r="N89" s="93">
        <f t="shared" si="23"/>
        <v>118.42105263157893</v>
      </c>
      <c r="O89" s="93">
        <f t="shared" si="23"/>
        <v>118.42105263157893</v>
      </c>
      <c r="P89" s="93">
        <f t="shared" si="23"/>
        <v>118.42105263157893</v>
      </c>
      <c r="Q89" s="93">
        <f t="shared" si="23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I103/I85*F87</f>
        <v>115.78947368421052</v>
      </c>
      <c r="J90" s="94">
        <f t="shared" si="23"/>
        <v>115.78947368421052</v>
      </c>
      <c r="K90" s="94">
        <f t="shared" si="23"/>
        <v>115.78947368421052</v>
      </c>
      <c r="L90" s="94">
        <f t="shared" si="23"/>
        <v>115.78947368421052</v>
      </c>
      <c r="M90" s="94">
        <f t="shared" si="23"/>
        <v>115.78947368421052</v>
      </c>
      <c r="N90" s="94">
        <f t="shared" si="23"/>
        <v>115.78947368421052</v>
      </c>
      <c r="O90" s="94">
        <f t="shared" si="23"/>
        <v>115.78947368421052</v>
      </c>
      <c r="P90" s="94">
        <f t="shared" si="23"/>
        <v>115.78947368421052</v>
      </c>
      <c r="Q90" s="94">
        <f t="shared" si="23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 t="shared" ref="J91:Q91" si="24">J88+J89-J90</f>
        <v>97.368421052631561</v>
      </c>
      <c r="K91" s="95">
        <f t="shared" si="24"/>
        <v>97.368421052631561</v>
      </c>
      <c r="L91" s="95">
        <f t="shared" si="24"/>
        <v>97.368421052631561</v>
      </c>
      <c r="M91" s="95">
        <f t="shared" si="24"/>
        <v>97.368421052631561</v>
      </c>
      <c r="N91" s="95">
        <f t="shared" si="24"/>
        <v>97.368421052631561</v>
      </c>
      <c r="O91" s="95">
        <f t="shared" si="24"/>
        <v>97.368421052631561</v>
      </c>
      <c r="P91" s="95">
        <f t="shared" si="24"/>
        <v>97.368421052631561</v>
      </c>
      <c r="Q91" s="95">
        <f t="shared" si="24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25">J93</f>
        <v>2.046783625730994E-2</v>
      </c>
      <c r="L93" s="61">
        <f t="shared" si="25"/>
        <v>2.046783625730994E-2</v>
      </c>
      <c r="M93" s="61">
        <f t="shared" si="25"/>
        <v>2.046783625730994E-2</v>
      </c>
      <c r="N93" s="61">
        <f t="shared" si="25"/>
        <v>2.046783625730994E-2</v>
      </c>
      <c r="O93" s="61">
        <f t="shared" si="25"/>
        <v>2.046783625730994E-2</v>
      </c>
      <c r="P93" s="61">
        <f t="shared" si="25"/>
        <v>2.046783625730994E-2</v>
      </c>
      <c r="Q93" s="61">
        <f t="shared" si="25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 t="shared" ref="J94:Q95" si="26">I94</f>
        <v>0.10818713450292397</v>
      </c>
      <c r="K94" s="62">
        <f t="shared" si="26"/>
        <v>0.10818713450292397</v>
      </c>
      <c r="L94" s="62">
        <f t="shared" si="26"/>
        <v>0.10818713450292397</v>
      </c>
      <c r="M94" s="62">
        <f t="shared" si="26"/>
        <v>0.10818713450292397</v>
      </c>
      <c r="N94" s="62">
        <f t="shared" si="26"/>
        <v>0.10818713450292397</v>
      </c>
      <c r="O94" s="62">
        <f t="shared" si="26"/>
        <v>0.10818713450292397</v>
      </c>
      <c r="P94" s="62">
        <f t="shared" si="26"/>
        <v>0.10818713450292397</v>
      </c>
      <c r="Q94" s="62">
        <f t="shared" si="26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si="26"/>
        <v>8.771929824561403E-3</v>
      </c>
      <c r="K95" s="76">
        <f t="shared" si="26"/>
        <v>8.771929824561403E-3</v>
      </c>
      <c r="L95" s="76">
        <f t="shared" si="26"/>
        <v>8.771929824561403E-3</v>
      </c>
      <c r="M95" s="76">
        <f t="shared" si="26"/>
        <v>8.771929824561403E-3</v>
      </c>
      <c r="N95" s="76">
        <f t="shared" si="26"/>
        <v>8.771929824561403E-3</v>
      </c>
      <c r="O95" s="76">
        <f t="shared" si="26"/>
        <v>8.771929824561403E-3</v>
      </c>
      <c r="P95" s="76">
        <f t="shared" si="26"/>
        <v>8.771929824561403E-3</v>
      </c>
      <c r="Q95" s="76">
        <f t="shared" si="26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8" si="27">K88/$F$87*K84</f>
        <v>100.17</v>
      </c>
      <c r="L98" s="82">
        <f t="shared" si="27"/>
        <v>107.18190000000001</v>
      </c>
      <c r="M98" s="82">
        <f t="shared" si="27"/>
        <v>113.61281400000001</v>
      </c>
      <c r="N98" s="82">
        <f t="shared" si="27"/>
        <v>119.29345470000001</v>
      </c>
      <c r="O98" s="82">
        <f t="shared" si="27"/>
        <v>124.06519288800001</v>
      </c>
      <c r="P98" s="82">
        <f t="shared" si="27"/>
        <v>129.02780060352001</v>
      </c>
      <c r="Q98" s="82">
        <f t="shared" si="27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 t="shared" ref="I99:I100" si="28">H121</f>
        <v>45</v>
      </c>
      <c r="J99" s="72">
        <f>J89/$F$87*J85</f>
        <v>47.25</v>
      </c>
      <c r="K99" s="72">
        <f t="shared" ref="K99:Q99" si="29">K89/$F$87*K85</f>
        <v>50.085000000000001</v>
      </c>
      <c r="L99" s="72">
        <f t="shared" si="29"/>
        <v>53.590950000000007</v>
      </c>
      <c r="M99" s="72">
        <f t="shared" si="29"/>
        <v>56.806407000000007</v>
      </c>
      <c r="N99" s="72">
        <f t="shared" si="29"/>
        <v>59.646727350000006</v>
      </c>
      <c r="O99" s="72">
        <f t="shared" si="29"/>
        <v>62.032596444000006</v>
      </c>
      <c r="P99" s="72">
        <f t="shared" si="29"/>
        <v>64.513900301760017</v>
      </c>
      <c r="Q99" s="72">
        <f t="shared" si="29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 t="shared" si="28"/>
        <v>7</v>
      </c>
      <c r="J100" s="73">
        <f>J93*J84</f>
        <v>7.35</v>
      </c>
      <c r="K100" s="73">
        <f t="shared" ref="K100:Q100" si="30">K93*K84</f>
        <v>7.7909999999999995</v>
      </c>
      <c r="L100" s="73">
        <f t="shared" si="30"/>
        <v>8.3363700000000005</v>
      </c>
      <c r="M100" s="73">
        <f t="shared" si="30"/>
        <v>8.8365522000000016</v>
      </c>
      <c r="N100" s="73">
        <f t="shared" si="30"/>
        <v>9.2783798100000006</v>
      </c>
      <c r="O100" s="73">
        <f t="shared" si="30"/>
        <v>9.6495150024000012</v>
      </c>
      <c r="P100" s="73">
        <f t="shared" si="30"/>
        <v>10.035495602496001</v>
      </c>
      <c r="Q100" s="73">
        <f t="shared" si="30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31">SUM(K98:K100)</f>
        <v>158.04599999999999</v>
      </c>
      <c r="L101" s="51">
        <f t="shared" si="31"/>
        <v>169.10921999999999</v>
      </c>
      <c r="M101" s="51">
        <f t="shared" si="31"/>
        <v>179.25577320000002</v>
      </c>
      <c r="N101" s="51">
        <f t="shared" si="31"/>
        <v>188.21856186000002</v>
      </c>
      <c r="O101" s="51">
        <f t="shared" si="31"/>
        <v>195.74730433440001</v>
      </c>
      <c r="P101" s="51">
        <f t="shared" si="31"/>
        <v>203.57719650777605</v>
      </c>
      <c r="Q101" s="51">
        <f t="shared" si="31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32">K90/$F$87*K85</f>
        <v>48.972000000000001</v>
      </c>
      <c r="L103" s="82">
        <f t="shared" si="32"/>
        <v>52.400040000000011</v>
      </c>
      <c r="M103" s="82">
        <f t="shared" si="32"/>
        <v>55.544042400000009</v>
      </c>
      <c r="N103" s="82">
        <f t="shared" si="32"/>
        <v>58.321244520000015</v>
      </c>
      <c r="O103" s="82">
        <f t="shared" si="32"/>
        <v>60.654094300800011</v>
      </c>
      <c r="P103" s="82">
        <f t="shared" si="32"/>
        <v>63.080258072832017</v>
      </c>
      <c r="Q103" s="82">
        <f t="shared" si="32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33">H131</f>
        <v>37</v>
      </c>
      <c r="J104" s="72">
        <f>J94*J$84</f>
        <v>38.85</v>
      </c>
      <c r="K104" s="72">
        <f t="shared" ref="K104:Q104" si="34">K94*K$84</f>
        <v>41.180999999999997</v>
      </c>
      <c r="L104" s="72">
        <f t="shared" si="34"/>
        <v>44.063670000000002</v>
      </c>
      <c r="M104" s="72">
        <f t="shared" si="34"/>
        <v>46.707490200000002</v>
      </c>
      <c r="N104" s="72">
        <f t="shared" si="34"/>
        <v>49.042864710000003</v>
      </c>
      <c r="O104" s="72">
        <f t="shared" si="34"/>
        <v>51.004579298400003</v>
      </c>
      <c r="P104" s="72">
        <f t="shared" si="34"/>
        <v>53.044762470336003</v>
      </c>
      <c r="Q104" s="72">
        <f t="shared" si="34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33"/>
        <v>3</v>
      </c>
      <c r="J105" s="73">
        <f t="shared" ref="J105:Q105" si="35">J95*J$84</f>
        <v>3.15</v>
      </c>
      <c r="K105" s="73">
        <f t="shared" si="35"/>
        <v>3.339</v>
      </c>
      <c r="L105" s="73">
        <f t="shared" si="35"/>
        <v>3.5727300000000004</v>
      </c>
      <c r="M105" s="73">
        <f t="shared" si="35"/>
        <v>3.7870938000000005</v>
      </c>
      <c r="N105" s="73">
        <f t="shared" si="35"/>
        <v>3.9764484900000006</v>
      </c>
      <c r="O105" s="73">
        <f t="shared" si="35"/>
        <v>4.1355064296000004</v>
      </c>
      <c r="P105" s="73">
        <f t="shared" si="35"/>
        <v>4.3009266867840008</v>
      </c>
      <c r="Q105" s="73">
        <f t="shared" si="35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36">SUM(K103:K105)</f>
        <v>93.49199999999999</v>
      </c>
      <c r="L106" s="51">
        <f t="shared" si="36"/>
        <v>100.03644000000003</v>
      </c>
      <c r="M106" s="51">
        <f t="shared" si="36"/>
        <v>106.03862640000001</v>
      </c>
      <c r="N106" s="51">
        <f t="shared" si="36"/>
        <v>111.34055772000002</v>
      </c>
      <c r="O106" s="51">
        <f t="shared" si="36"/>
        <v>115.79418002880001</v>
      </c>
      <c r="P106" s="51">
        <f t="shared" si="36"/>
        <v>120.42594722995202</v>
      </c>
      <c r="Q106" s="51">
        <f t="shared" si="36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 t="shared" ref="J108:Q108" si="37">J101-J106</f>
        <v>60.899999999999977</v>
      </c>
      <c r="K108" s="51">
        <f t="shared" si="37"/>
        <v>64.554000000000002</v>
      </c>
      <c r="L108" s="51">
        <f t="shared" si="37"/>
        <v>69.072779999999966</v>
      </c>
      <c r="M108" s="51">
        <f t="shared" si="37"/>
        <v>73.217146800000009</v>
      </c>
      <c r="N108" s="51">
        <f t="shared" si="37"/>
        <v>76.878004140000002</v>
      </c>
      <c r="O108" s="51">
        <f t="shared" si="37"/>
        <v>79.953124305599999</v>
      </c>
      <c r="P108" s="51">
        <f t="shared" si="37"/>
        <v>83.151249277824036</v>
      </c>
      <c r="Q108" s="51">
        <f t="shared" si="37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38">J108-K108</f>
        <v>-3.6540000000000248</v>
      </c>
      <c r="L109" s="49">
        <f t="shared" si="38"/>
        <v>-4.518779999999964</v>
      </c>
      <c r="M109" s="49">
        <f t="shared" si="38"/>
        <v>-4.1443668000000429</v>
      </c>
      <c r="N109" s="49">
        <f t="shared" si="38"/>
        <v>-3.6608573399999926</v>
      </c>
      <c r="O109" s="49">
        <f t="shared" si="38"/>
        <v>-3.0751201655999978</v>
      </c>
      <c r="P109" s="49">
        <f t="shared" si="38"/>
        <v>-3.1981249722240364</v>
      </c>
      <c r="Q109" s="49">
        <f t="shared" si="38"/>
        <v>-3.326049971112937</v>
      </c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>
        <f ca="1">J167</f>
        <v>5</v>
      </c>
      <c r="K119" s="82">
        <f t="shared" ref="K119:Q119" ca="1" si="39">K167</f>
        <v>5</v>
      </c>
      <c r="L119" s="82">
        <f t="shared" ca="1" si="39"/>
        <v>5</v>
      </c>
      <c r="M119" s="82">
        <f t="shared" ca="1" si="39"/>
        <v>5</v>
      </c>
      <c r="N119" s="82">
        <f t="shared" ca="1" si="39"/>
        <v>5</v>
      </c>
      <c r="O119" s="82">
        <f t="shared" ca="1" si="39"/>
        <v>5</v>
      </c>
      <c r="P119" s="82">
        <f t="shared" ca="1" si="39"/>
        <v>5.0000000000000568</v>
      </c>
      <c r="Q119" s="82">
        <f t="shared" ca="1" si="39"/>
        <v>4.9999999999899174</v>
      </c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>
        <f>J98</f>
        <v>94.5</v>
      </c>
      <c r="K120" s="72">
        <f t="shared" ref="K120:Q120" si="40">K98</f>
        <v>100.17</v>
      </c>
      <c r="L120" s="72">
        <f t="shared" si="40"/>
        <v>107.18190000000001</v>
      </c>
      <c r="M120" s="72">
        <f t="shared" si="40"/>
        <v>113.61281400000001</v>
      </c>
      <c r="N120" s="72">
        <f t="shared" si="40"/>
        <v>119.29345470000001</v>
      </c>
      <c r="O120" s="72">
        <f t="shared" si="40"/>
        <v>124.06519288800001</v>
      </c>
      <c r="P120" s="72">
        <f t="shared" si="40"/>
        <v>129.02780060352001</v>
      </c>
      <c r="Q120" s="72">
        <f t="shared" si="40"/>
        <v>134.18891262766081</v>
      </c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 t="shared" ref="I121:I122" si="41">H121</f>
        <v>45</v>
      </c>
      <c r="J121" s="72">
        <f t="shared" ref="J121:Q122" si="42">J99</f>
        <v>47.25</v>
      </c>
      <c r="K121" s="72">
        <f t="shared" si="42"/>
        <v>50.085000000000001</v>
      </c>
      <c r="L121" s="72">
        <f t="shared" si="42"/>
        <v>53.590950000000007</v>
      </c>
      <c r="M121" s="72">
        <f t="shared" si="42"/>
        <v>56.806407000000007</v>
      </c>
      <c r="N121" s="72">
        <f t="shared" si="42"/>
        <v>59.646727350000006</v>
      </c>
      <c r="O121" s="72">
        <f t="shared" si="42"/>
        <v>62.032596444000006</v>
      </c>
      <c r="P121" s="72">
        <f t="shared" si="42"/>
        <v>64.513900301760017</v>
      </c>
      <c r="Q121" s="72">
        <f t="shared" si="42"/>
        <v>67.094456313830406</v>
      </c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2">
        <f t="shared" si="41"/>
        <v>7</v>
      </c>
      <c r="J122" s="73">
        <f t="shared" si="42"/>
        <v>7.35</v>
      </c>
      <c r="K122" s="73">
        <f t="shared" si="42"/>
        <v>7.7909999999999995</v>
      </c>
      <c r="L122" s="73">
        <f t="shared" si="42"/>
        <v>8.3363700000000005</v>
      </c>
      <c r="M122" s="73">
        <f t="shared" si="42"/>
        <v>8.8365522000000016</v>
      </c>
      <c r="N122" s="73">
        <f t="shared" si="42"/>
        <v>9.2783798100000006</v>
      </c>
      <c r="O122" s="73">
        <f t="shared" si="42"/>
        <v>9.6495150024000012</v>
      </c>
      <c r="P122" s="73">
        <f t="shared" si="42"/>
        <v>10.035495602496001</v>
      </c>
      <c r="Q122" s="73">
        <f t="shared" si="42"/>
        <v>10.43691542659584</v>
      </c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>
        <f ca="1">SUM(J119:J122)</f>
        <v>154.1</v>
      </c>
      <c r="K123" s="51">
        <f t="shared" ref="K123:Q123" ca="1" si="43">SUM(K119:K122)</f>
        <v>163.04599999999999</v>
      </c>
      <c r="L123" s="51">
        <f t="shared" ca="1" si="43"/>
        <v>174.10921999999999</v>
      </c>
      <c r="M123" s="51">
        <f t="shared" ca="1" si="43"/>
        <v>184.25577320000002</v>
      </c>
      <c r="N123" s="51">
        <f t="shared" ca="1" si="43"/>
        <v>193.21856186000002</v>
      </c>
      <c r="O123" s="51">
        <f t="shared" ca="1" si="43"/>
        <v>200.74730433440001</v>
      </c>
      <c r="P123" s="51">
        <f t="shared" ca="1" si="43"/>
        <v>208.57719650777611</v>
      </c>
      <c r="Q123" s="51">
        <f t="shared" ca="1" si="43"/>
        <v>216.72028436807696</v>
      </c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>
        <f>I124-J155-J151</f>
        <v>78</v>
      </c>
      <c r="K124" s="72">
        <f t="shared" ref="K124:Q124" si="44">J124-K155-K151</f>
        <v>78</v>
      </c>
      <c r="L124" s="72">
        <f t="shared" si="44"/>
        <v>78</v>
      </c>
      <c r="M124" s="72">
        <f t="shared" si="44"/>
        <v>78</v>
      </c>
      <c r="N124" s="72">
        <f t="shared" si="44"/>
        <v>78</v>
      </c>
      <c r="O124" s="72">
        <f t="shared" si="44"/>
        <v>78</v>
      </c>
      <c r="P124" s="72">
        <f t="shared" si="44"/>
        <v>78</v>
      </c>
      <c r="Q124" s="72">
        <f t="shared" si="44"/>
        <v>78</v>
      </c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>
        <f>I125</f>
        <v>670</v>
      </c>
      <c r="K125" s="72">
        <f t="shared" ref="K125:Q125" si="45">J125</f>
        <v>670</v>
      </c>
      <c r="L125" s="72">
        <f t="shared" si="45"/>
        <v>670</v>
      </c>
      <c r="M125" s="72">
        <f t="shared" si="45"/>
        <v>670</v>
      </c>
      <c r="N125" s="72">
        <f t="shared" si="45"/>
        <v>670</v>
      </c>
      <c r="O125" s="72">
        <f t="shared" si="45"/>
        <v>670</v>
      </c>
      <c r="P125" s="72">
        <f t="shared" si="45"/>
        <v>670</v>
      </c>
      <c r="Q125" s="72">
        <f t="shared" si="45"/>
        <v>670</v>
      </c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>
        <f>I126-J256</f>
        <v>15.452083333333334</v>
      </c>
      <c r="K126" s="73">
        <f t="shared" ref="K126:Q126" si="46">J126-K256</f>
        <v>13.966666666666669</v>
      </c>
      <c r="L126" s="73">
        <f t="shared" si="46"/>
        <v>12.481250000000003</v>
      </c>
      <c r="M126" s="73">
        <f t="shared" si="46"/>
        <v>10.995833333333337</v>
      </c>
      <c r="N126" s="73">
        <f t="shared" si="46"/>
        <v>9.5104166666666714</v>
      </c>
      <c r="O126" s="73">
        <f t="shared" si="46"/>
        <v>8.1250000000000053</v>
      </c>
      <c r="P126" s="73">
        <f t="shared" si="46"/>
        <v>7.3125000000000053</v>
      </c>
      <c r="Q126" s="73">
        <f t="shared" si="46"/>
        <v>6.5000000000000053</v>
      </c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>
        <f ca="1">SUM(J123:J126)</f>
        <v>917.55208333333337</v>
      </c>
      <c r="K127" s="51">
        <f t="shared" ref="K127:Q127" ca="1" si="47">SUM(K123:K126)</f>
        <v>925.01266666666675</v>
      </c>
      <c r="L127" s="51">
        <f t="shared" ca="1" si="47"/>
        <v>934.5904700000001</v>
      </c>
      <c r="M127" s="51">
        <f t="shared" ca="1" si="47"/>
        <v>943.25160653333342</v>
      </c>
      <c r="N127" s="51">
        <f t="shared" ca="1" si="47"/>
        <v>950.72897852666665</v>
      </c>
      <c r="O127" s="51">
        <f t="shared" ca="1" si="47"/>
        <v>956.87230433440004</v>
      </c>
      <c r="P127" s="51">
        <f t="shared" ca="1" si="47"/>
        <v>963.88969650777608</v>
      </c>
      <c r="Q127" s="51">
        <f t="shared" ca="1" si="47"/>
        <v>971.22028436807693</v>
      </c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>
        <f>J103</f>
        <v>46.2</v>
      </c>
      <c r="K130" s="82">
        <f t="shared" ref="K130:Q130" si="48">K103</f>
        <v>48.972000000000001</v>
      </c>
      <c r="L130" s="82">
        <f t="shared" si="48"/>
        <v>52.400040000000011</v>
      </c>
      <c r="M130" s="82">
        <f t="shared" si="48"/>
        <v>55.544042400000009</v>
      </c>
      <c r="N130" s="82">
        <f t="shared" si="48"/>
        <v>58.321244520000015</v>
      </c>
      <c r="O130" s="82">
        <f t="shared" si="48"/>
        <v>60.654094300800011</v>
      </c>
      <c r="P130" s="82">
        <f t="shared" si="48"/>
        <v>63.080258072832017</v>
      </c>
      <c r="Q130" s="82">
        <f t="shared" si="48"/>
        <v>65.603468395745296</v>
      </c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49">H131</f>
        <v>37</v>
      </c>
      <c r="J131" s="72">
        <f t="shared" ref="J131:Q132" si="50">J104</f>
        <v>38.85</v>
      </c>
      <c r="K131" s="72">
        <f t="shared" si="50"/>
        <v>41.180999999999997</v>
      </c>
      <c r="L131" s="72">
        <f t="shared" si="50"/>
        <v>44.063670000000002</v>
      </c>
      <c r="M131" s="72">
        <f t="shared" si="50"/>
        <v>46.707490200000002</v>
      </c>
      <c r="N131" s="72">
        <f t="shared" si="50"/>
        <v>49.042864710000003</v>
      </c>
      <c r="O131" s="72">
        <f t="shared" si="50"/>
        <v>51.004579298400003</v>
      </c>
      <c r="P131" s="72">
        <f t="shared" si="50"/>
        <v>53.044762470336003</v>
      </c>
      <c r="Q131" s="72">
        <f t="shared" si="50"/>
        <v>55.166552969149443</v>
      </c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49"/>
        <v>3</v>
      </c>
      <c r="J132" s="73">
        <f t="shared" si="50"/>
        <v>3.15</v>
      </c>
      <c r="K132" s="73">
        <f t="shared" si="50"/>
        <v>3.339</v>
      </c>
      <c r="L132" s="73">
        <f t="shared" si="50"/>
        <v>3.5727300000000004</v>
      </c>
      <c r="M132" s="73">
        <f t="shared" si="50"/>
        <v>3.7870938000000005</v>
      </c>
      <c r="N132" s="73">
        <f t="shared" si="50"/>
        <v>3.9764484900000006</v>
      </c>
      <c r="O132" s="73">
        <f t="shared" si="50"/>
        <v>4.1355064296000004</v>
      </c>
      <c r="P132" s="73">
        <f t="shared" si="50"/>
        <v>4.3009266867840008</v>
      </c>
      <c r="Q132" s="73">
        <f t="shared" si="50"/>
        <v>4.4729637542553604</v>
      </c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>
        <f>SUM(J130:J132)</f>
        <v>88.200000000000017</v>
      </c>
      <c r="K133" s="51">
        <f t="shared" ref="K133:Q133" si="51">SUM(K130:K132)</f>
        <v>93.49199999999999</v>
      </c>
      <c r="L133" s="51">
        <f t="shared" si="51"/>
        <v>100.03644000000003</v>
      </c>
      <c r="M133" s="51">
        <f t="shared" si="51"/>
        <v>106.03862640000001</v>
      </c>
      <c r="N133" s="51">
        <f t="shared" si="51"/>
        <v>111.34055772000002</v>
      </c>
      <c r="O133" s="51">
        <f t="shared" si="51"/>
        <v>115.79418002880001</v>
      </c>
      <c r="P133" s="51">
        <f t="shared" si="51"/>
        <v>120.42594722995202</v>
      </c>
      <c r="Q133" s="51">
        <f t="shared" si="51"/>
        <v>125.24298511915011</v>
      </c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>
        <f ca="1">J185</f>
        <v>574.65164753201691</v>
      </c>
      <c r="K135" s="82">
        <f t="shared" ref="K135:Q135" ca="1" si="52">K185</f>
        <v>547.64118346485066</v>
      </c>
      <c r="L135" s="82">
        <f t="shared" ca="1" si="52"/>
        <v>517.80812138859687</v>
      </c>
      <c r="M135" s="82">
        <f t="shared" ca="1" si="52"/>
        <v>484.03719008664768</v>
      </c>
      <c r="N135" s="82">
        <f t="shared" ca="1" si="52"/>
        <v>445.83537537313987</v>
      </c>
      <c r="O135" s="82">
        <f t="shared" ca="1" si="52"/>
        <v>403.35406455222085</v>
      </c>
      <c r="P135" s="82">
        <f t="shared" ca="1" si="52"/>
        <v>356.84456143160583</v>
      </c>
      <c r="Q135" s="82">
        <f t="shared" ca="1" si="52"/>
        <v>305.68003234379694</v>
      </c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>
        <f>I136</f>
        <v>7</v>
      </c>
      <c r="K136" s="73">
        <f t="shared" ref="K136:Q136" si="53">J136</f>
        <v>7</v>
      </c>
      <c r="L136" s="73">
        <f t="shared" si="53"/>
        <v>7</v>
      </c>
      <c r="M136" s="73">
        <f t="shared" si="53"/>
        <v>7</v>
      </c>
      <c r="N136" s="73">
        <f t="shared" si="53"/>
        <v>7</v>
      </c>
      <c r="O136" s="73">
        <f t="shared" si="53"/>
        <v>7</v>
      </c>
      <c r="P136" s="73">
        <f t="shared" si="53"/>
        <v>7</v>
      </c>
      <c r="Q136" s="73">
        <f t="shared" si="53"/>
        <v>7</v>
      </c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>
        <f ca="1">SUM(J135:J136,J133)</f>
        <v>669.85164753201695</v>
      </c>
      <c r="K137" s="90">
        <f t="shared" ref="K137:Q137" ca="1" si="54">SUM(K135:K136,K133)</f>
        <v>648.13318346485062</v>
      </c>
      <c r="L137" s="90">
        <f t="shared" ca="1" si="54"/>
        <v>624.84456138859696</v>
      </c>
      <c r="M137" s="90">
        <f t="shared" ca="1" si="54"/>
        <v>597.07581648664768</v>
      </c>
      <c r="N137" s="90">
        <f t="shared" ca="1" si="54"/>
        <v>564.17593309313986</v>
      </c>
      <c r="O137" s="90">
        <f t="shared" ca="1" si="54"/>
        <v>526.14824458102089</v>
      </c>
      <c r="P137" s="90">
        <f t="shared" ca="1" si="54"/>
        <v>484.27050866155787</v>
      </c>
      <c r="Q137" s="90">
        <f t="shared" ca="1" si="54"/>
        <v>437.92301746294703</v>
      </c>
    </row>
    <row r="139" spans="1:24" x14ac:dyDescent="0.2">
      <c r="B139" s="3" t="s">
        <v>112</v>
      </c>
      <c r="H139" s="60">
        <v>160</v>
      </c>
      <c r="I139" s="49">
        <f>SUM(G15:G16)-G24</f>
        <v>220.9375</v>
      </c>
      <c r="J139" s="49">
        <f ca="1">I139+J150</f>
        <v>247.70043580131636</v>
      </c>
      <c r="K139" s="49">
        <f t="shared" ref="K139:Q139" ca="1" si="55">J139+K150</f>
        <v>276.87948320181602</v>
      </c>
      <c r="L139" s="49">
        <f t="shared" ca="1" si="55"/>
        <v>309.74590861140314</v>
      </c>
      <c r="M139" s="49">
        <f t="shared" ca="1" si="55"/>
        <v>346.17579004668568</v>
      </c>
      <c r="N139" s="49">
        <f t="shared" ca="1" si="55"/>
        <v>386.55304543352679</v>
      </c>
      <c r="O139" s="49">
        <f t="shared" ca="1" si="55"/>
        <v>430.72405975337909</v>
      </c>
      <c r="P139" s="49">
        <f t="shared" ca="1" si="55"/>
        <v>479.61918784621821</v>
      </c>
      <c r="Q139" s="49">
        <f t="shared" ca="1" si="55"/>
        <v>533.2972669051303</v>
      </c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>
        <f ca="1">J137+J139</f>
        <v>917.55208333333326</v>
      </c>
      <c r="K140" s="51">
        <f t="shared" ref="K140:Q140" ca="1" si="56">K137+K139</f>
        <v>925.01266666666663</v>
      </c>
      <c r="L140" s="51">
        <f t="shared" ca="1" si="56"/>
        <v>934.5904700000001</v>
      </c>
      <c r="M140" s="51">
        <f t="shared" ca="1" si="56"/>
        <v>943.25160653333342</v>
      </c>
      <c r="N140" s="51">
        <f t="shared" ca="1" si="56"/>
        <v>950.72897852666665</v>
      </c>
      <c r="O140" s="51">
        <f t="shared" ca="1" si="56"/>
        <v>956.87230433440004</v>
      </c>
      <c r="P140" s="51">
        <f t="shared" ca="1" si="56"/>
        <v>963.88969650777608</v>
      </c>
      <c r="Q140" s="51">
        <f t="shared" ca="1" si="56"/>
        <v>971.22028436807727</v>
      </c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ca="1" si="57">ROUND(J140,3) = ROUND(J127,3)</f>
        <v>1</v>
      </c>
      <c r="K141" s="91" t="b">
        <f t="shared" ca="1" si="57"/>
        <v>1</v>
      </c>
      <c r="L141" s="91" t="b">
        <f t="shared" ca="1" si="57"/>
        <v>1</v>
      </c>
      <c r="M141" s="91" t="b">
        <f t="shared" ca="1" si="57"/>
        <v>1</v>
      </c>
      <c r="N141" s="91" t="b">
        <f t="shared" ca="1" si="57"/>
        <v>1</v>
      </c>
      <c r="O141" s="91" t="b">
        <f t="shared" ca="1" si="57"/>
        <v>1</v>
      </c>
      <c r="P141" s="91" t="b">
        <f t="shared" ca="1" si="57"/>
        <v>1</v>
      </c>
      <c r="Q141" s="91" t="b">
        <f t="shared" ca="1" si="57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 ca="1">J63</f>
        <v>26.762935801316353</v>
      </c>
      <c r="K150" s="82">
        <f t="shared" ref="K150:Q150" ca="1" si="58">K63</f>
        <v>29.179047400499634</v>
      </c>
      <c r="L150" s="82">
        <f t="shared" ca="1" si="58"/>
        <v>32.866425409587137</v>
      </c>
      <c r="M150" s="82">
        <f t="shared" ca="1" si="58"/>
        <v>36.429881435282553</v>
      </c>
      <c r="N150" s="82">
        <f t="shared" ca="1" si="58"/>
        <v>40.377255386841135</v>
      </c>
      <c r="O150" s="82">
        <f t="shared" ca="1" si="58"/>
        <v>44.171014319852283</v>
      </c>
      <c r="P150" s="82">
        <f t="shared" ca="1" si="58"/>
        <v>48.895128092839116</v>
      </c>
      <c r="Q150" s="82">
        <f t="shared" ca="1" si="58"/>
        <v>53.678079058913362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59">-K54</f>
        <v>18.920999999999999</v>
      </c>
      <c r="L151" s="72">
        <f t="shared" si="59"/>
        <v>20.245470000000001</v>
      </c>
      <c r="M151" s="72">
        <f t="shared" si="59"/>
        <v>21.460198200000001</v>
      </c>
      <c r="N151" s="72">
        <f t="shared" si="59"/>
        <v>22.533208110000004</v>
      </c>
      <c r="O151" s="72">
        <f t="shared" si="59"/>
        <v>23.434536434400002</v>
      </c>
      <c r="P151" s="72">
        <f t="shared" si="59"/>
        <v>24.371917891776004</v>
      </c>
      <c r="Q151" s="72">
        <f t="shared" si="59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>
        <f ca="1">J268</f>
        <v>10.362701261966929</v>
      </c>
      <c r="K152" s="72">
        <f t="shared" ref="K152:Q152" ca="1" si="60">K268</f>
        <v>11.150763079826483</v>
      </c>
      <c r="L152" s="72">
        <f t="shared" ca="1" si="60"/>
        <v>12.008783388044325</v>
      </c>
      <c r="M152" s="72">
        <f t="shared" si="60"/>
        <v>1.4854166666666666</v>
      </c>
      <c r="N152" s="72">
        <f t="shared" si="60"/>
        <v>1.4854166666666666</v>
      </c>
      <c r="O152" s="72">
        <f t="shared" si="60"/>
        <v>1.3854166666666665</v>
      </c>
      <c r="P152" s="72">
        <f t="shared" si="60"/>
        <v>0.81250000000000044</v>
      </c>
      <c r="Q152" s="72">
        <f t="shared" si="60"/>
        <v>0.8125</v>
      </c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61">K109</f>
        <v>-3.6540000000000248</v>
      </c>
      <c r="L153" s="73">
        <f t="shared" si="61"/>
        <v>-4.518779999999964</v>
      </c>
      <c r="M153" s="73">
        <f t="shared" si="61"/>
        <v>-4.1443668000000429</v>
      </c>
      <c r="N153" s="73">
        <f t="shared" si="61"/>
        <v>-3.6608573399999926</v>
      </c>
      <c r="O153" s="73">
        <f t="shared" si="61"/>
        <v>-3.0751201655999978</v>
      </c>
      <c r="P153" s="73">
        <f t="shared" si="61"/>
        <v>-3.1981249722240364</v>
      </c>
      <c r="Q153" s="73">
        <f t="shared" si="61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 ca="1">SUM(J150:J153)</f>
        <v>52.07563706328331</v>
      </c>
      <c r="K154" s="51">
        <f t="shared" ref="K154:Q154" ca="1" si="62">SUM(K150:K153)</f>
        <v>55.596810480326091</v>
      </c>
      <c r="L154" s="51">
        <f t="shared" ca="1" si="62"/>
        <v>60.601898797631492</v>
      </c>
      <c r="M154" s="51">
        <f t="shared" ca="1" si="62"/>
        <v>55.231129501949177</v>
      </c>
      <c r="N154" s="51">
        <f t="shared" ca="1" si="62"/>
        <v>60.735022823507819</v>
      </c>
      <c r="O154" s="51">
        <f t="shared" ca="1" si="62"/>
        <v>65.915847255318951</v>
      </c>
      <c r="P154" s="51">
        <f t="shared" ca="1" si="62"/>
        <v>70.881421012391087</v>
      </c>
      <c r="Q154" s="51">
        <f t="shared" ca="1" si="62"/>
        <v>76.511323695247469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63">-K73*K47</f>
        <v>-18.920999999999999</v>
      </c>
      <c r="L155" s="50">
        <f t="shared" si="63"/>
        <v>-20.245470000000001</v>
      </c>
      <c r="M155" s="50">
        <f t="shared" si="63"/>
        <v>-21.460198200000001</v>
      </c>
      <c r="N155" s="50">
        <f t="shared" si="63"/>
        <v>-22.533208110000004</v>
      </c>
      <c r="O155" s="50">
        <f t="shared" si="63"/>
        <v>-23.434536434400002</v>
      </c>
      <c r="P155" s="50">
        <f t="shared" si="63"/>
        <v>-24.371917891776004</v>
      </c>
      <c r="Q155" s="50">
        <f t="shared" si="63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 ca="1">SUM(J154:J155)</f>
        <v>34.225637063283308</v>
      </c>
      <c r="K156" s="51">
        <f t="shared" ref="K156:Q156" ca="1" si="64">SUM(K154:K155)</f>
        <v>36.675810480326092</v>
      </c>
      <c r="L156" s="51">
        <f t="shared" ca="1" si="64"/>
        <v>40.356428797631494</v>
      </c>
      <c r="M156" s="51">
        <f t="shared" ca="1" si="64"/>
        <v>33.770931301949176</v>
      </c>
      <c r="N156" s="51">
        <f t="shared" ca="1" si="64"/>
        <v>38.201814713507815</v>
      </c>
      <c r="O156" s="51">
        <f t="shared" ca="1" si="64"/>
        <v>42.481310820918949</v>
      </c>
      <c r="P156" s="51">
        <f t="shared" ca="1" si="64"/>
        <v>46.509503120615079</v>
      </c>
      <c r="Q156" s="51">
        <f t="shared" ca="1" si="64"/>
        <v>51.164529087800432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ca="1" si="65">J167</f>
        <v>5</v>
      </c>
      <c r="L158" s="82">
        <f t="shared" ca="1" si="65"/>
        <v>5</v>
      </c>
      <c r="M158" s="82">
        <f t="shared" ca="1" si="65"/>
        <v>5</v>
      </c>
      <c r="N158" s="82">
        <f t="shared" ca="1" si="65"/>
        <v>5</v>
      </c>
      <c r="O158" s="82">
        <f t="shared" ca="1" si="65"/>
        <v>5</v>
      </c>
      <c r="P158" s="82">
        <f t="shared" ca="1" si="65"/>
        <v>5</v>
      </c>
      <c r="Q158" s="82">
        <f t="shared" ca="1" si="65"/>
        <v>5.0000000000000568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 ca="1">J156</f>
        <v>34.225637063283308</v>
      </c>
      <c r="K159" s="72">
        <f t="shared" ref="K159:Q159" ca="1" si="66">K156</f>
        <v>36.675810480326092</v>
      </c>
      <c r="L159" s="72">
        <f t="shared" ca="1" si="66"/>
        <v>40.356428797631494</v>
      </c>
      <c r="M159" s="72">
        <f t="shared" ca="1" si="66"/>
        <v>33.770931301949176</v>
      </c>
      <c r="N159" s="72">
        <f t="shared" ca="1" si="66"/>
        <v>38.201814713507815</v>
      </c>
      <c r="O159" s="72">
        <f t="shared" ca="1" si="66"/>
        <v>42.481310820918949</v>
      </c>
      <c r="P159" s="72">
        <f t="shared" ca="1" si="66"/>
        <v>46.509503120615079</v>
      </c>
      <c r="Q159" s="72">
        <f t="shared" ca="1" si="66"/>
        <v>51.164529087800432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67">-$H$32</f>
        <v>-5</v>
      </c>
      <c r="L160" s="73">
        <f t="shared" si="67"/>
        <v>-5</v>
      </c>
      <c r="M160" s="73">
        <f t="shared" si="67"/>
        <v>-5</v>
      </c>
      <c r="N160" s="73">
        <f t="shared" si="67"/>
        <v>-5</v>
      </c>
      <c r="O160" s="73">
        <f t="shared" si="67"/>
        <v>-5</v>
      </c>
      <c r="P160" s="73">
        <f t="shared" si="67"/>
        <v>-5</v>
      </c>
      <c r="Q160" s="73">
        <f t="shared" si="67"/>
        <v>-5</v>
      </c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 ca="1">SUM(J158:J160)</f>
        <v>34.225637063283308</v>
      </c>
      <c r="K161" s="51">
        <f t="shared" ref="K161:Q161" ca="1" si="68">SUM(K158:K160)</f>
        <v>36.675810480326092</v>
      </c>
      <c r="L161" s="51">
        <f t="shared" ca="1" si="68"/>
        <v>40.356428797631494</v>
      </c>
      <c r="M161" s="51">
        <f t="shared" ca="1" si="68"/>
        <v>33.770931301949176</v>
      </c>
      <c r="N161" s="51">
        <f t="shared" ca="1" si="68"/>
        <v>38.201814713507815</v>
      </c>
      <c r="O161" s="51">
        <f t="shared" ca="1" si="68"/>
        <v>42.481310820918949</v>
      </c>
      <c r="P161" s="51">
        <f t="shared" ca="1" si="68"/>
        <v>46.509503120615079</v>
      </c>
      <c r="Q161" s="51">
        <f t="shared" ca="1" si="68"/>
        <v>51.164529087800489</v>
      </c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>
        <f>J204</f>
        <v>-2.75</v>
      </c>
      <c r="K163" s="82">
        <f t="shared" ref="K163:Q163" ca="1" si="69">K204</f>
        <v>-2.75</v>
      </c>
      <c r="L163" s="82">
        <f t="shared" ca="1" si="69"/>
        <v>-2.75</v>
      </c>
      <c r="M163" s="82">
        <f t="shared" ca="1" si="69"/>
        <v>-2.75</v>
      </c>
      <c r="N163" s="82">
        <f t="shared" ca="1" si="69"/>
        <v>-2.75</v>
      </c>
      <c r="O163" s="82">
        <f t="shared" ca="1" si="69"/>
        <v>-2.75</v>
      </c>
      <c r="P163" s="82">
        <f t="shared" ca="1" si="69"/>
        <v>-2.75</v>
      </c>
      <c r="Q163" s="82">
        <f t="shared" ca="1" si="69"/>
        <v>-2.75</v>
      </c>
    </row>
    <row r="164" spans="1:24" x14ac:dyDescent="0.2">
      <c r="B164" s="20" t="s">
        <v>136</v>
      </c>
      <c r="J164" s="50">
        <f ca="1">J213</f>
        <v>-31.475637063283308</v>
      </c>
      <c r="K164" s="50">
        <f t="shared" ref="K164:Q164" ca="1" si="70">K213</f>
        <v>-33.925810480326092</v>
      </c>
      <c r="L164" s="50">
        <f t="shared" ca="1" si="70"/>
        <v>-37.606428797631494</v>
      </c>
      <c r="M164" s="50">
        <f t="shared" ca="1" si="70"/>
        <v>-31.020931301949176</v>
      </c>
      <c r="N164" s="50">
        <f t="shared" ca="1" si="70"/>
        <v>-35.451814713507815</v>
      </c>
      <c r="O164" s="50">
        <f t="shared" ca="1" si="70"/>
        <v>-39.731310820918949</v>
      </c>
      <c r="P164" s="50">
        <f t="shared" ca="1" si="70"/>
        <v>-43.759503120615079</v>
      </c>
      <c r="Q164" s="50">
        <f t="shared" ca="1" si="70"/>
        <v>-48.414529087798812</v>
      </c>
    </row>
    <row r="165" spans="1:24" x14ac:dyDescent="0.2">
      <c r="B165" s="20"/>
    </row>
    <row r="166" spans="1:24" x14ac:dyDescent="0.2">
      <c r="B166" s="20" t="s">
        <v>143</v>
      </c>
      <c r="J166" s="49">
        <f>-J160</f>
        <v>5</v>
      </c>
      <c r="K166" s="49">
        <f t="shared" ref="K166:Q166" si="71">-K160</f>
        <v>5</v>
      </c>
      <c r="L166" s="49">
        <f t="shared" si="71"/>
        <v>5</v>
      </c>
      <c r="M166" s="49">
        <f t="shared" si="71"/>
        <v>5</v>
      </c>
      <c r="N166" s="49">
        <f t="shared" si="71"/>
        <v>5</v>
      </c>
      <c r="O166" s="49">
        <f t="shared" si="71"/>
        <v>5</v>
      </c>
      <c r="P166" s="49">
        <f t="shared" si="71"/>
        <v>5</v>
      </c>
      <c r="Q166" s="49">
        <f t="shared" si="71"/>
        <v>5</v>
      </c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 ca="1">SUM(J166,J163:J164,J161)</f>
        <v>5</v>
      </c>
      <c r="K167" s="51">
        <f t="shared" ref="K167:Q167" ca="1" si="72">SUM(K166,K163:K164,K161)</f>
        <v>5</v>
      </c>
      <c r="L167" s="51">
        <f t="shared" ca="1" si="72"/>
        <v>5</v>
      </c>
      <c r="M167" s="51">
        <f t="shared" ca="1" si="72"/>
        <v>5</v>
      </c>
      <c r="N167" s="51">
        <f t="shared" ca="1" si="72"/>
        <v>5</v>
      </c>
      <c r="O167" s="51">
        <f t="shared" ca="1" si="72"/>
        <v>5</v>
      </c>
      <c r="P167" s="51">
        <f t="shared" ca="1" si="72"/>
        <v>5</v>
      </c>
      <c r="Q167" s="51">
        <f t="shared" ca="1" si="72"/>
        <v>5.0000000000016769</v>
      </c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 ca="1">IF($H$38=1,AVERAGE(J158,J167),J158)</f>
        <v>5</v>
      </c>
      <c r="K170" s="82">
        <f t="shared" ref="K170:Q170" ca="1" si="73">IF($H$38=1,AVERAGE(K158,K167),K158)</f>
        <v>5</v>
      </c>
      <c r="L170" s="82">
        <f t="shared" ca="1" si="73"/>
        <v>5</v>
      </c>
      <c r="M170" s="82">
        <f t="shared" ca="1" si="73"/>
        <v>5</v>
      </c>
      <c r="N170" s="82">
        <f t="shared" ca="1" si="73"/>
        <v>5</v>
      </c>
      <c r="O170" s="82">
        <f t="shared" ca="1" si="73"/>
        <v>5</v>
      </c>
      <c r="P170" s="82">
        <f t="shared" ca="1" si="73"/>
        <v>5</v>
      </c>
      <c r="Q170" s="82">
        <f t="shared" ca="1" si="73"/>
        <v>5.0000000000008669</v>
      </c>
    </row>
    <row r="171" spans="1:24" x14ac:dyDescent="0.2">
      <c r="B171" s="20" t="s">
        <v>145</v>
      </c>
      <c r="G171" s="99">
        <f>H35</f>
        <v>2.5000000000000001E-3</v>
      </c>
      <c r="J171" s="50">
        <f ca="1">$G171*J170</f>
        <v>1.2500000000000001E-2</v>
      </c>
      <c r="K171" s="50">
        <f t="shared" ref="K171:Q171" ca="1" si="74">$G171*K170</f>
        <v>1.2500000000000001E-2</v>
      </c>
      <c r="L171" s="50">
        <f t="shared" ca="1" si="74"/>
        <v>1.2500000000000001E-2</v>
      </c>
      <c r="M171" s="50">
        <f t="shared" ca="1" si="74"/>
        <v>1.2500000000000001E-2</v>
      </c>
      <c r="N171" s="50">
        <f t="shared" ca="1" si="74"/>
        <v>1.2500000000000001E-2</v>
      </c>
      <c r="O171" s="50">
        <f t="shared" ca="1" si="74"/>
        <v>1.2500000000000001E-2</v>
      </c>
      <c r="P171" s="50">
        <f t="shared" ca="1" si="74"/>
        <v>1.2500000000000001E-2</v>
      </c>
      <c r="Q171" s="50">
        <f t="shared" ca="1" si="74"/>
        <v>1.2500000000002167E-2</v>
      </c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75">J$116</f>
        <v>43100</v>
      </c>
      <c r="K177" s="54">
        <f t="shared" si="75"/>
        <v>43465</v>
      </c>
      <c r="L177" s="54">
        <f t="shared" si="75"/>
        <v>43830</v>
      </c>
      <c r="M177" s="54">
        <f t="shared" si="75"/>
        <v>44196</v>
      </c>
      <c r="N177" s="54">
        <f t="shared" si="75"/>
        <v>44561</v>
      </c>
      <c r="O177" s="54">
        <f t="shared" si="75"/>
        <v>44926</v>
      </c>
      <c r="P177" s="54">
        <f t="shared" si="75"/>
        <v>45291</v>
      </c>
      <c r="Q177" s="54">
        <f t="shared" si="75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>
        <f>G11</f>
        <v>0</v>
      </c>
      <c r="J181" s="82">
        <f ca="1">MAX(0,I181+J200+J209)</f>
        <v>0</v>
      </c>
      <c r="K181" s="82">
        <f t="shared" ref="K181:Q181" ca="1" si="76">MAX(0,J181+K200+K209)</f>
        <v>0</v>
      </c>
      <c r="L181" s="82">
        <f t="shared" ca="1" si="76"/>
        <v>0</v>
      </c>
      <c r="M181" s="82">
        <f t="shared" ca="1" si="76"/>
        <v>0</v>
      </c>
      <c r="N181" s="82">
        <f t="shared" ca="1" si="76"/>
        <v>0</v>
      </c>
      <c r="O181" s="82">
        <f t="shared" ca="1" si="76"/>
        <v>0</v>
      </c>
      <c r="P181" s="82">
        <f t="shared" ca="1" si="76"/>
        <v>0</v>
      </c>
      <c r="Q181" s="82">
        <f t="shared" ca="1" si="76"/>
        <v>0</v>
      </c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>
        <f t="shared" ref="I182:I184" si="77">G12</f>
        <v>275</v>
      </c>
      <c r="J182" s="72">
        <f t="shared" ref="J182:Q182" ca="1" si="78">MAX(0,I182+J201+J210)</f>
        <v>240.7743629367167</v>
      </c>
      <c r="K182" s="72">
        <f t="shared" ca="1" si="78"/>
        <v>204.09855245639062</v>
      </c>
      <c r="L182" s="72">
        <f t="shared" ca="1" si="78"/>
        <v>163.74212365875911</v>
      </c>
      <c r="M182" s="72">
        <f t="shared" ca="1" si="78"/>
        <v>129.97119235680992</v>
      </c>
      <c r="N182" s="72">
        <f t="shared" ca="1" si="78"/>
        <v>91.769377643302107</v>
      </c>
      <c r="O182" s="72">
        <f t="shared" ca="1" si="78"/>
        <v>49.288066822383158</v>
      </c>
      <c r="P182" s="72">
        <f t="shared" ca="1" si="78"/>
        <v>2.7785637017680784</v>
      </c>
      <c r="Q182" s="72">
        <f t="shared" ca="1" si="78"/>
        <v>0</v>
      </c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>
        <f t="shared" si="77"/>
        <v>225</v>
      </c>
      <c r="J183" s="72">
        <f ca="1">MAX(0,I183+J202+J211+J247)</f>
        <v>225</v>
      </c>
      <c r="K183" s="72">
        <f t="shared" ref="K183:Q183" ca="1" si="79">MAX(0,J183+K202+K211+K247)</f>
        <v>225</v>
      </c>
      <c r="L183" s="72">
        <f t="shared" ca="1" si="79"/>
        <v>225</v>
      </c>
      <c r="M183" s="72">
        <f t="shared" ca="1" si="79"/>
        <v>225</v>
      </c>
      <c r="N183" s="72">
        <f t="shared" ca="1" si="79"/>
        <v>225</v>
      </c>
      <c r="O183" s="72">
        <f t="shared" ca="1" si="79"/>
        <v>225</v>
      </c>
      <c r="P183" s="72">
        <f t="shared" ca="1" si="79"/>
        <v>225</v>
      </c>
      <c r="Q183" s="72">
        <f t="shared" ca="1" si="79"/>
        <v>176.61403461396932</v>
      </c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>
        <f t="shared" si="77"/>
        <v>100</v>
      </c>
      <c r="J184" s="73">
        <f t="shared" ref="J184:Q184" ca="1" si="80">MAX(0,I184+J203+J212+J248)</f>
        <v>108.87728459530027</v>
      </c>
      <c r="K184" s="73">
        <f t="shared" ca="1" si="80"/>
        <v>118.54263100846008</v>
      </c>
      <c r="L184" s="73">
        <f t="shared" ca="1" si="80"/>
        <v>129.06599772983773</v>
      </c>
      <c r="M184" s="73">
        <f t="shared" ca="1" si="80"/>
        <v>129.06599772983773</v>
      </c>
      <c r="N184" s="73">
        <f t="shared" ca="1" si="80"/>
        <v>129.06599772983773</v>
      </c>
      <c r="O184" s="73">
        <f t="shared" ca="1" si="80"/>
        <v>129.06599772983773</v>
      </c>
      <c r="P184" s="73">
        <f t="shared" ca="1" si="80"/>
        <v>129.06599772983773</v>
      </c>
      <c r="Q184" s="73">
        <f t="shared" ca="1" si="80"/>
        <v>129.06599772983773</v>
      </c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>
        <f>SUM(I181:I184)</f>
        <v>600</v>
      </c>
      <c r="J185" s="51">
        <f t="shared" ref="J185:Q185" ca="1" si="81">SUM(J181:J184)</f>
        <v>574.65164753201691</v>
      </c>
      <c r="K185" s="51">
        <f t="shared" ca="1" si="81"/>
        <v>547.64118346485066</v>
      </c>
      <c r="L185" s="51">
        <f t="shared" ca="1" si="81"/>
        <v>517.80812138859687</v>
      </c>
      <c r="M185" s="51">
        <f t="shared" ca="1" si="81"/>
        <v>484.03719008664768</v>
      </c>
      <c r="N185" s="51">
        <f t="shared" ca="1" si="81"/>
        <v>445.83537537313987</v>
      </c>
      <c r="O185" s="51">
        <f t="shared" ca="1" si="81"/>
        <v>403.35406455222085</v>
      </c>
      <c r="P185" s="51">
        <f t="shared" ca="1" si="81"/>
        <v>356.84456143160583</v>
      </c>
      <c r="Q185" s="51">
        <f t="shared" ca="1" si="81"/>
        <v>305.68003234380706</v>
      </c>
    </row>
    <row r="186" spans="2:17" x14ac:dyDescent="0.2">
      <c r="C186" s="8" t="s">
        <v>168</v>
      </c>
      <c r="J186" s="57">
        <f ca="1">IFERROR(J185/$I185,0)</f>
        <v>0.9577527458866949</v>
      </c>
      <c r="K186" s="57">
        <f t="shared" ref="K186:Q186" ca="1" si="82">IFERROR(K185/$I185,0)</f>
        <v>0.91273530577475104</v>
      </c>
      <c r="L186" s="57">
        <f t="shared" ca="1" si="82"/>
        <v>0.86301353564766148</v>
      </c>
      <c r="M186" s="57">
        <f t="shared" ca="1" si="82"/>
        <v>0.80672865014441275</v>
      </c>
      <c r="N186" s="57">
        <f t="shared" ca="1" si="82"/>
        <v>0.74305895895523311</v>
      </c>
      <c r="O186" s="57">
        <f t="shared" ca="1" si="82"/>
        <v>0.67225677425370145</v>
      </c>
      <c r="P186" s="57">
        <f t="shared" ca="1" si="82"/>
        <v>0.59474093571934306</v>
      </c>
      <c r="Q186" s="57">
        <f t="shared" ca="1" si="82"/>
        <v>0.50946672057301179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>
        <f>MAX(0,$G189-I181)</f>
        <v>100</v>
      </c>
      <c r="J189" s="101">
        <f t="shared" ref="J189:Q189" ca="1" si="83">MAX(0,$G189-J181)</f>
        <v>100</v>
      </c>
      <c r="K189" s="101">
        <f t="shared" ca="1" si="83"/>
        <v>100</v>
      </c>
      <c r="L189" s="101">
        <f t="shared" ca="1" si="83"/>
        <v>100</v>
      </c>
      <c r="M189" s="101">
        <f t="shared" ca="1" si="83"/>
        <v>100</v>
      </c>
      <c r="N189" s="101">
        <f t="shared" ca="1" si="83"/>
        <v>100</v>
      </c>
      <c r="O189" s="101">
        <f t="shared" ca="1" si="83"/>
        <v>100</v>
      </c>
      <c r="P189" s="101">
        <f t="shared" ca="1" si="83"/>
        <v>100</v>
      </c>
      <c r="Q189" s="101">
        <f t="shared" ca="1" si="83"/>
        <v>100</v>
      </c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>
        <f ca="1">J161</f>
        <v>34.225637063283308</v>
      </c>
      <c r="K191" s="102">
        <f t="shared" ref="K191:Q191" ca="1" si="84">K161</f>
        <v>36.675810480326092</v>
      </c>
      <c r="L191" s="102">
        <f t="shared" ca="1" si="84"/>
        <v>40.356428797631494</v>
      </c>
      <c r="M191" s="102">
        <f t="shared" ca="1" si="84"/>
        <v>33.770931301949176</v>
      </c>
      <c r="N191" s="102">
        <f t="shared" ca="1" si="84"/>
        <v>38.201814713507815</v>
      </c>
      <c r="O191" s="102">
        <f t="shared" ca="1" si="84"/>
        <v>42.481310820918949</v>
      </c>
      <c r="P191" s="102">
        <f t="shared" ca="1" si="84"/>
        <v>46.509503120615079</v>
      </c>
      <c r="Q191" s="102">
        <f t="shared" ca="1" si="84"/>
        <v>51.164529087800489</v>
      </c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85">K194</f>
        <v>0</v>
      </c>
      <c r="M194" s="61">
        <f t="shared" si="85"/>
        <v>0</v>
      </c>
      <c r="N194" s="61">
        <f t="shared" si="85"/>
        <v>0</v>
      </c>
      <c r="O194" s="61">
        <f t="shared" si="85"/>
        <v>0</v>
      </c>
      <c r="P194" s="61">
        <f t="shared" si="85"/>
        <v>0</v>
      </c>
      <c r="Q194" s="61">
        <f t="shared" si="85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86">J195</f>
        <v>0.01</v>
      </c>
      <c r="L195" s="62">
        <f t="shared" si="86"/>
        <v>0.01</v>
      </c>
      <c r="M195" s="62">
        <f t="shared" si="86"/>
        <v>0.01</v>
      </c>
      <c r="N195" s="62">
        <f t="shared" si="86"/>
        <v>0.01</v>
      </c>
      <c r="O195" s="62">
        <f t="shared" si="86"/>
        <v>0.01</v>
      </c>
      <c r="P195" s="62">
        <f t="shared" si="86"/>
        <v>0.01</v>
      </c>
      <c r="Q195" s="62">
        <f t="shared" si="86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86"/>
        <v>0</v>
      </c>
      <c r="L196" s="62">
        <f t="shared" si="86"/>
        <v>0</v>
      </c>
      <c r="M196" s="62">
        <f t="shared" si="86"/>
        <v>0</v>
      </c>
      <c r="N196" s="62">
        <f t="shared" si="86"/>
        <v>0</v>
      </c>
      <c r="O196" s="62">
        <f t="shared" si="86"/>
        <v>0</v>
      </c>
      <c r="P196" s="62">
        <f t="shared" si="86"/>
        <v>0</v>
      </c>
      <c r="Q196" s="62">
        <f t="shared" si="86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86"/>
        <v>0</v>
      </c>
      <c r="L197" s="76">
        <f t="shared" si="86"/>
        <v>0</v>
      </c>
      <c r="M197" s="76">
        <f t="shared" si="86"/>
        <v>0</v>
      </c>
      <c r="N197" s="76">
        <f t="shared" si="86"/>
        <v>0</v>
      </c>
      <c r="O197" s="76">
        <f t="shared" si="86"/>
        <v>0</v>
      </c>
      <c r="P197" s="76">
        <f t="shared" si="86"/>
        <v>0</v>
      </c>
      <c r="Q197" s="76">
        <f t="shared" si="86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>
        <f>-MAX(0,MIN(J194*$I181,I181))</f>
        <v>0</v>
      </c>
      <c r="K200" s="82">
        <f t="shared" ref="K200:Q200" ca="1" si="87">-MAX(0,MIN(K194*$I181,J181))</f>
        <v>0</v>
      </c>
      <c r="L200" s="82">
        <f t="shared" ca="1" si="87"/>
        <v>0</v>
      </c>
      <c r="M200" s="82">
        <f t="shared" ca="1" si="87"/>
        <v>0</v>
      </c>
      <c r="N200" s="82">
        <f t="shared" ca="1" si="87"/>
        <v>0</v>
      </c>
      <c r="O200" s="82">
        <f t="shared" ca="1" si="87"/>
        <v>0</v>
      </c>
      <c r="P200" s="82">
        <f t="shared" ca="1" si="87"/>
        <v>0</v>
      </c>
      <c r="Q200" s="82">
        <f t="shared" ca="1" si="87"/>
        <v>0</v>
      </c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>
        <f t="shared" ref="J201:Q203" si="88">-MAX(0,MIN(J195*$I182,I182))</f>
        <v>-2.75</v>
      </c>
      <c r="K201" s="72">
        <f t="shared" ca="1" si="88"/>
        <v>-2.75</v>
      </c>
      <c r="L201" s="72">
        <f t="shared" ca="1" si="88"/>
        <v>-2.75</v>
      </c>
      <c r="M201" s="72">
        <f t="shared" ca="1" si="88"/>
        <v>-2.75</v>
      </c>
      <c r="N201" s="72">
        <f t="shared" ca="1" si="88"/>
        <v>-2.75</v>
      </c>
      <c r="O201" s="72">
        <f t="shared" ca="1" si="88"/>
        <v>-2.75</v>
      </c>
      <c r="P201" s="72">
        <f t="shared" ca="1" si="88"/>
        <v>-2.75</v>
      </c>
      <c r="Q201" s="72">
        <f t="shared" ca="1" si="88"/>
        <v>-2.75</v>
      </c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>
        <f t="shared" si="88"/>
        <v>0</v>
      </c>
      <c r="K202" s="72">
        <f t="shared" ca="1" si="88"/>
        <v>0</v>
      </c>
      <c r="L202" s="72">
        <f t="shared" ca="1" si="88"/>
        <v>0</v>
      </c>
      <c r="M202" s="72">
        <f t="shared" ca="1" si="88"/>
        <v>0</v>
      </c>
      <c r="N202" s="72">
        <f t="shared" ca="1" si="88"/>
        <v>0</v>
      </c>
      <c r="O202" s="72">
        <f t="shared" ca="1" si="88"/>
        <v>0</v>
      </c>
      <c r="P202" s="72">
        <f t="shared" ca="1" si="88"/>
        <v>0</v>
      </c>
      <c r="Q202" s="72">
        <f t="shared" ca="1" si="88"/>
        <v>0</v>
      </c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>
        <f t="shared" si="88"/>
        <v>0</v>
      </c>
      <c r="K203" s="73">
        <f t="shared" ca="1" si="88"/>
        <v>0</v>
      </c>
      <c r="L203" s="73">
        <f t="shared" ca="1" si="88"/>
        <v>0</v>
      </c>
      <c r="M203" s="73">
        <f t="shared" ca="1" si="88"/>
        <v>0</v>
      </c>
      <c r="N203" s="73">
        <f t="shared" ca="1" si="88"/>
        <v>0</v>
      </c>
      <c r="O203" s="73">
        <f t="shared" ca="1" si="88"/>
        <v>0</v>
      </c>
      <c r="P203" s="73">
        <f t="shared" ca="1" si="88"/>
        <v>0</v>
      </c>
      <c r="Q203" s="73">
        <f t="shared" ca="1" si="88"/>
        <v>0</v>
      </c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>
        <f>SUM(J200:J203)</f>
        <v>-2.75</v>
      </c>
      <c r="K204" s="51">
        <f t="shared" ref="K204:Q204" ca="1" si="89">SUM(K200:K203)</f>
        <v>-2.75</v>
      </c>
      <c r="L204" s="51">
        <f t="shared" ca="1" si="89"/>
        <v>-2.75</v>
      </c>
      <c r="M204" s="51">
        <f t="shared" ca="1" si="89"/>
        <v>-2.75</v>
      </c>
      <c r="N204" s="51">
        <f t="shared" ca="1" si="89"/>
        <v>-2.75</v>
      </c>
      <c r="O204" s="51">
        <f t="shared" ca="1" si="89"/>
        <v>-2.75</v>
      </c>
      <c r="P204" s="51">
        <f t="shared" ca="1" si="89"/>
        <v>-2.75</v>
      </c>
      <c r="Q204" s="51">
        <f t="shared" ca="1" si="89"/>
        <v>-2.75</v>
      </c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>
        <f ca="1">J204+J191</f>
        <v>31.475637063283308</v>
      </c>
      <c r="K206" s="102">
        <f t="shared" ref="K206:Q206" ca="1" si="90">K204+K191</f>
        <v>33.925810480326092</v>
      </c>
      <c r="L206" s="102">
        <f t="shared" ca="1" si="90"/>
        <v>37.606428797631494</v>
      </c>
      <c r="M206" s="102">
        <f t="shared" ca="1" si="90"/>
        <v>31.020931301949176</v>
      </c>
      <c r="N206" s="102">
        <f t="shared" ca="1" si="90"/>
        <v>35.451814713507815</v>
      </c>
      <c r="O206" s="102">
        <f t="shared" ca="1" si="90"/>
        <v>39.731310820918949</v>
      </c>
      <c r="P206" s="102">
        <f t="shared" ca="1" si="90"/>
        <v>43.759503120615079</v>
      </c>
      <c r="Q206" s="102">
        <f t="shared" ca="1" si="90"/>
        <v>48.414529087800489</v>
      </c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>
        <f t="shared" ref="J209:Q209" ca="1" si="91">IF(J206&gt;0,-MAX(0,MIN(J206,I181)),-MIN(0,J206))</f>
        <v>0</v>
      </c>
      <c r="K209" s="82">
        <f t="shared" ca="1" si="91"/>
        <v>0</v>
      </c>
      <c r="L209" s="82">
        <f t="shared" ca="1" si="91"/>
        <v>0</v>
      </c>
      <c r="M209" s="82">
        <f t="shared" ca="1" si="91"/>
        <v>0</v>
      </c>
      <c r="N209" s="82">
        <f t="shared" ca="1" si="91"/>
        <v>0</v>
      </c>
      <c r="O209" s="82">
        <f t="shared" ca="1" si="91"/>
        <v>0</v>
      </c>
      <c r="P209" s="82">
        <f t="shared" ca="1" si="91"/>
        <v>0</v>
      </c>
      <c r="Q209" s="82">
        <f t="shared" ca="1" si="91"/>
        <v>0</v>
      </c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>
        <f ca="1">-MAX(0,MIN(SUM(J$206,J$209:J209),I182+J201))</f>
        <v>-31.475637063283308</v>
      </c>
      <c r="K210" s="72">
        <f ca="1">-MAX(0,MIN(SUM(K$206,K$209:K209),J182+K201))</f>
        <v>-33.925810480326092</v>
      </c>
      <c r="L210" s="72">
        <f ca="1">-MAX(0,MIN(SUM(L$206,L$209:L209),K182+L201))</f>
        <v>-37.606428797631494</v>
      </c>
      <c r="M210" s="72">
        <f ca="1">-MAX(0,MIN(SUM(M$206,M$209:M209),L182+M201))</f>
        <v>-31.020931301949176</v>
      </c>
      <c r="N210" s="72">
        <f ca="1">-MAX(0,MIN(SUM(N$206,N$209:N209),M182+N201))</f>
        <v>-35.451814713507815</v>
      </c>
      <c r="O210" s="72">
        <f ca="1">-MAX(0,MIN(SUM(O$206,O$209:O209),N182+O201))</f>
        <v>-39.731310820918949</v>
      </c>
      <c r="P210" s="72">
        <f ca="1">-MAX(0,MIN(SUM(P$206,P$209:P209),O182+P201))</f>
        <v>-43.759503120615079</v>
      </c>
      <c r="Q210" s="72">
        <f ca="1">-MAX(0,MIN(SUM(Q$206,Q$209:Q209),P182+Q201))</f>
        <v>-2.8563701768078431E-2</v>
      </c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>
        <f ca="1">-MAX(0,MIN(SUM(J$206,J$209:J210),I183+J202))</f>
        <v>0</v>
      </c>
      <c r="K211" s="72">
        <f ca="1">-MAX(0,MIN(SUM(K$206,K$209:K210),J183+K202))</f>
        <v>0</v>
      </c>
      <c r="L211" s="72">
        <f ca="1">-MAX(0,MIN(SUM(L$206,L$209:L210),K183+L202))</f>
        <v>0</v>
      </c>
      <c r="M211" s="72">
        <f ca="1">-MAX(0,MIN(SUM(M$206,M$209:M210),L183+M202))</f>
        <v>0</v>
      </c>
      <c r="N211" s="72">
        <f ca="1">-MAX(0,MIN(SUM(N$206,N$209:N210),M183+N202))</f>
        <v>0</v>
      </c>
      <c r="O211" s="72">
        <f ca="1">-MAX(0,MIN(SUM(O$206,O$209:O210),N183+O202))</f>
        <v>0</v>
      </c>
      <c r="P211" s="72">
        <f ca="1">-MAX(0,MIN(SUM(P$206,P$209:P210),O183+P202))</f>
        <v>0</v>
      </c>
      <c r="Q211" s="72">
        <f ca="1">-MAX(0,MIN(SUM(Q$206,Q$209:Q210),P183+Q202))</f>
        <v>-48.38596538603241</v>
      </c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>
        <f ca="1">-MAX(0,MIN(SUM(J$206,J$209:J211),I184+J203))</f>
        <v>0</v>
      </c>
      <c r="K212" s="72">
        <f ca="1">-MAX(0,MIN(SUM(K$206,K$209:K211),J184+K203))</f>
        <v>0</v>
      </c>
      <c r="L212" s="72">
        <f ca="1">-MAX(0,MIN(SUM(L$206,L$209:L211),K184+L203))</f>
        <v>0</v>
      </c>
      <c r="M212" s="72">
        <f ca="1">-MAX(0,MIN(SUM(M$206,M$209:M211),L184+M203))</f>
        <v>0</v>
      </c>
      <c r="N212" s="72">
        <f ca="1">-MAX(0,MIN(SUM(N$206,N$209:N211),M184+N203))</f>
        <v>0</v>
      </c>
      <c r="O212" s="72">
        <f ca="1">-MAX(0,MIN(SUM(O$206,O$209:O211),N184+O203))</f>
        <v>0</v>
      </c>
      <c r="P212" s="72">
        <f ca="1">-MAX(0,MIN(SUM(P$206,P$209:P211),O184+P203))</f>
        <v>0</v>
      </c>
      <c r="Q212" s="72">
        <f ca="1">-MAX(0,MIN(SUM(Q$206,Q$209:Q211),P184+Q203))</f>
        <v>0</v>
      </c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>
        <f ca="1">SUM(J209:J212)</f>
        <v>-31.475637063283308</v>
      </c>
      <c r="K213" s="51">
        <f t="shared" ref="K213:Q213" ca="1" si="92">SUM(K209:K212)</f>
        <v>-33.925810480326092</v>
      </c>
      <c r="L213" s="51">
        <f t="shared" ca="1" si="92"/>
        <v>-37.606428797631494</v>
      </c>
      <c r="M213" s="51">
        <f t="shared" ca="1" si="92"/>
        <v>-31.020931301949176</v>
      </c>
      <c r="N213" s="51">
        <f t="shared" ca="1" si="92"/>
        <v>-35.451814713507815</v>
      </c>
      <c r="O213" s="51">
        <f t="shared" ca="1" si="92"/>
        <v>-39.731310820918949</v>
      </c>
      <c r="P213" s="51">
        <f t="shared" ca="1" si="92"/>
        <v>-43.759503120615079</v>
      </c>
      <c r="Q213" s="51">
        <f t="shared" ca="1" si="92"/>
        <v>-48.414529087800489</v>
      </c>
    </row>
    <row r="214" spans="1:24" x14ac:dyDescent="0.2">
      <c r="H214" s="3" t="s">
        <v>185</v>
      </c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93">J$116</f>
        <v>43100</v>
      </c>
      <c r="K219" s="54">
        <f t="shared" si="93"/>
        <v>43465</v>
      </c>
      <c r="L219" s="54">
        <f t="shared" si="93"/>
        <v>43830</v>
      </c>
      <c r="M219" s="54">
        <f t="shared" si="93"/>
        <v>44196</v>
      </c>
      <c r="N219" s="54">
        <f t="shared" si="93"/>
        <v>44561</v>
      </c>
      <c r="O219" s="54">
        <f t="shared" si="93"/>
        <v>44926</v>
      </c>
      <c r="P219" s="54">
        <f t="shared" si="93"/>
        <v>45291</v>
      </c>
      <c r="Q219" s="54">
        <f t="shared" si="93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>
        <f ca="1">IF($H$38=1,AVERAGE(I189:J189),I189)</f>
        <v>100</v>
      </c>
      <c r="K225" s="82">
        <f t="shared" ref="K225:Q225" ca="1" si="94">IF($H$38=1,AVERAGE(J189:K189),J189)</f>
        <v>100</v>
      </c>
      <c r="L225" s="82">
        <f t="shared" ca="1" si="94"/>
        <v>100</v>
      </c>
      <c r="M225" s="82">
        <f t="shared" ca="1" si="94"/>
        <v>100</v>
      </c>
      <c r="N225" s="82">
        <f t="shared" ca="1" si="94"/>
        <v>100</v>
      </c>
      <c r="O225" s="82">
        <f t="shared" ca="1" si="94"/>
        <v>100</v>
      </c>
      <c r="P225" s="82">
        <f t="shared" ca="1" si="94"/>
        <v>100</v>
      </c>
      <c r="Q225" s="82">
        <f t="shared" ca="1" si="94"/>
        <v>100</v>
      </c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>
        <f ca="1">IF($H$38=1,AVERAGE(I181:J181),I181)</f>
        <v>0</v>
      </c>
      <c r="K226" s="72">
        <f t="shared" ref="K226:Q226" ca="1" si="95">IF($H$38=1,AVERAGE(J181:K181),J181)</f>
        <v>0</v>
      </c>
      <c r="L226" s="72">
        <f t="shared" ca="1" si="95"/>
        <v>0</v>
      </c>
      <c r="M226" s="72">
        <f t="shared" ca="1" si="95"/>
        <v>0</v>
      </c>
      <c r="N226" s="72">
        <f t="shared" ca="1" si="95"/>
        <v>0</v>
      </c>
      <c r="O226" s="72">
        <f t="shared" ca="1" si="95"/>
        <v>0</v>
      </c>
      <c r="P226" s="72">
        <f t="shared" ca="1" si="95"/>
        <v>0</v>
      </c>
      <c r="Q226" s="72">
        <f t="shared" ca="1" si="95"/>
        <v>0</v>
      </c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>
        <f t="shared" ref="J227:Q229" ca="1" si="96">IF($H$38=1,AVERAGE(I182:J182),I182)</f>
        <v>257.88718146835834</v>
      </c>
      <c r="K227" s="72">
        <f t="shared" ca="1" si="96"/>
        <v>222.43645769655365</v>
      </c>
      <c r="L227" s="72">
        <f t="shared" ca="1" si="96"/>
        <v>183.92033805757487</v>
      </c>
      <c r="M227" s="72">
        <f t="shared" ca="1" si="96"/>
        <v>146.85665800778452</v>
      </c>
      <c r="N227" s="72">
        <f t="shared" ca="1" si="96"/>
        <v>110.87028500005601</v>
      </c>
      <c r="O227" s="72">
        <f t="shared" ca="1" si="96"/>
        <v>70.528722232842625</v>
      </c>
      <c r="P227" s="72">
        <f t="shared" ca="1" si="96"/>
        <v>26.033315262075618</v>
      </c>
      <c r="Q227" s="72">
        <f t="shared" ca="1" si="96"/>
        <v>1.3892818508840392</v>
      </c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>
        <f t="shared" ca="1" si="96"/>
        <v>225</v>
      </c>
      <c r="K228" s="72">
        <f t="shared" ca="1" si="96"/>
        <v>225</v>
      </c>
      <c r="L228" s="72">
        <f t="shared" ca="1" si="96"/>
        <v>225</v>
      </c>
      <c r="M228" s="72">
        <f t="shared" ca="1" si="96"/>
        <v>225</v>
      </c>
      <c r="N228" s="72">
        <f t="shared" ca="1" si="96"/>
        <v>225</v>
      </c>
      <c r="O228" s="72">
        <f t="shared" ca="1" si="96"/>
        <v>225</v>
      </c>
      <c r="P228" s="72">
        <f t="shared" ca="1" si="96"/>
        <v>225</v>
      </c>
      <c r="Q228" s="72">
        <f t="shared" ca="1" si="96"/>
        <v>200.80701730698468</v>
      </c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>
        <f ca="1">IF($H$38=1,AVERAGE(I184:J184),I184)</f>
        <v>104.43864229765013</v>
      </c>
      <c r="K229" s="73">
        <f t="shared" ca="1" si="96"/>
        <v>113.70995780188017</v>
      </c>
      <c r="L229" s="73">
        <f t="shared" ca="1" si="96"/>
        <v>123.8043143691489</v>
      </c>
      <c r="M229" s="73">
        <f t="shared" ca="1" si="96"/>
        <v>129.06599772983773</v>
      </c>
      <c r="N229" s="73">
        <f t="shared" ca="1" si="96"/>
        <v>129.06599772983773</v>
      </c>
      <c r="O229" s="73">
        <f t="shared" ca="1" si="96"/>
        <v>129.06599772983773</v>
      </c>
      <c r="P229" s="73">
        <f t="shared" ca="1" si="96"/>
        <v>129.06599772983773</v>
      </c>
      <c r="Q229" s="73">
        <f t="shared" ca="1" si="96"/>
        <v>129.06599772983773</v>
      </c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>
        <f>IF($G232=1,J$222,0)+$H232</f>
        <v>3.5000000000000001E-3</v>
      </c>
      <c r="K232" s="108">
        <f t="shared" ref="K232:Q236" si="97">IF($G232=1,K$222,0)+$H232</f>
        <v>3.5000000000000001E-3</v>
      </c>
      <c r="L232" s="108">
        <f t="shared" si="97"/>
        <v>3.5000000000000001E-3</v>
      </c>
      <c r="M232" s="108">
        <f t="shared" si="97"/>
        <v>3.5000000000000001E-3</v>
      </c>
      <c r="N232" s="108">
        <f t="shared" si="97"/>
        <v>3.5000000000000001E-3</v>
      </c>
      <c r="O232" s="108">
        <f t="shared" si="97"/>
        <v>3.5000000000000001E-3</v>
      </c>
      <c r="P232" s="108">
        <f t="shared" si="97"/>
        <v>3.5000000000000001E-3</v>
      </c>
      <c r="Q232" s="108">
        <f t="shared" si="97"/>
        <v>3.5000000000000001E-3</v>
      </c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98">S10</f>
        <v>1</v>
      </c>
      <c r="H233" s="110">
        <f t="shared" si="98"/>
        <v>0.02</v>
      </c>
      <c r="I233" s="16"/>
      <c r="J233" s="111">
        <f t="shared" ref="J233:J236" si="99">IF($G233=1,J$222,0)+$H233</f>
        <v>2.5000000000000001E-2</v>
      </c>
      <c r="K233" s="111">
        <f t="shared" si="97"/>
        <v>3.1E-2</v>
      </c>
      <c r="L233" s="111">
        <f t="shared" si="97"/>
        <v>3.5000000000000003E-2</v>
      </c>
      <c r="M233" s="111">
        <f t="shared" si="97"/>
        <v>4.1499999999999995E-2</v>
      </c>
      <c r="N233" s="111">
        <f t="shared" si="97"/>
        <v>4.4999999999999998E-2</v>
      </c>
      <c r="O233" s="111">
        <f t="shared" si="97"/>
        <v>0.05</v>
      </c>
      <c r="P233" s="111">
        <f t="shared" si="97"/>
        <v>0.05</v>
      </c>
      <c r="Q233" s="111">
        <f t="shared" si="97"/>
        <v>0.05</v>
      </c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98"/>
        <v>1</v>
      </c>
      <c r="H234" s="109">
        <f t="shared" si="98"/>
        <v>0.03</v>
      </c>
      <c r="I234" s="16"/>
      <c r="J234" s="111">
        <f t="shared" si="99"/>
        <v>3.4999999999999996E-2</v>
      </c>
      <c r="K234" s="111">
        <f t="shared" si="97"/>
        <v>4.0999999999999995E-2</v>
      </c>
      <c r="L234" s="111">
        <f t="shared" si="97"/>
        <v>4.4999999999999998E-2</v>
      </c>
      <c r="M234" s="111">
        <f t="shared" si="97"/>
        <v>5.1499999999999997E-2</v>
      </c>
      <c r="N234" s="111">
        <f t="shared" si="97"/>
        <v>5.5E-2</v>
      </c>
      <c r="O234" s="111">
        <f t="shared" si="97"/>
        <v>0.06</v>
      </c>
      <c r="P234" s="111">
        <f t="shared" si="97"/>
        <v>0.06</v>
      </c>
      <c r="Q234" s="111">
        <f t="shared" si="97"/>
        <v>0.06</v>
      </c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98"/>
        <v>0</v>
      </c>
      <c r="H235" s="111">
        <f t="shared" si="98"/>
        <v>7.0000000000000007E-2</v>
      </c>
      <c r="I235" s="16"/>
      <c r="J235" s="111">
        <f t="shared" si="99"/>
        <v>7.0000000000000007E-2</v>
      </c>
      <c r="K235" s="111">
        <f t="shared" si="97"/>
        <v>7.0000000000000007E-2</v>
      </c>
      <c r="L235" s="111">
        <f t="shared" si="97"/>
        <v>7.0000000000000007E-2</v>
      </c>
      <c r="M235" s="111">
        <f t="shared" si="97"/>
        <v>7.0000000000000007E-2</v>
      </c>
      <c r="N235" s="111">
        <f t="shared" si="97"/>
        <v>7.0000000000000007E-2</v>
      </c>
      <c r="O235" s="111">
        <f t="shared" si="97"/>
        <v>7.0000000000000007E-2</v>
      </c>
      <c r="P235" s="111">
        <f t="shared" si="97"/>
        <v>7.0000000000000007E-2</v>
      </c>
      <c r="Q235" s="111">
        <f t="shared" si="97"/>
        <v>7.0000000000000007E-2</v>
      </c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98"/>
        <v>0</v>
      </c>
      <c r="H236" s="112">
        <f t="shared" si="98"/>
        <v>8.5000000000000006E-2</v>
      </c>
      <c r="I236" s="17"/>
      <c r="J236" s="112">
        <f t="shared" si="99"/>
        <v>8.5000000000000006E-2</v>
      </c>
      <c r="K236" s="112">
        <f t="shared" si="97"/>
        <v>8.5000000000000006E-2</v>
      </c>
      <c r="L236" s="112">
        <f t="shared" si="97"/>
        <v>8.5000000000000006E-2</v>
      </c>
      <c r="M236" s="112">
        <f t="shared" si="97"/>
        <v>8.5000000000000006E-2</v>
      </c>
      <c r="N236" s="112">
        <f t="shared" si="97"/>
        <v>8.5000000000000006E-2</v>
      </c>
      <c r="O236" s="112">
        <f t="shared" si="97"/>
        <v>8.5000000000000006E-2</v>
      </c>
      <c r="P236" s="112">
        <f t="shared" si="97"/>
        <v>8.5000000000000006E-2</v>
      </c>
      <c r="Q236" s="112">
        <f t="shared" si="97"/>
        <v>8.5000000000000006E-2</v>
      </c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>
        <f ca="1">J225*J232</f>
        <v>0.35000000000000003</v>
      </c>
      <c r="K239" s="82">
        <f t="shared" ref="K239:Q239" ca="1" si="100">K225*K232</f>
        <v>0.35000000000000003</v>
      </c>
      <c r="L239" s="82">
        <f t="shared" ca="1" si="100"/>
        <v>0.35000000000000003</v>
      </c>
      <c r="M239" s="82">
        <f t="shared" ca="1" si="100"/>
        <v>0.35000000000000003</v>
      </c>
      <c r="N239" s="82">
        <f t="shared" ca="1" si="100"/>
        <v>0.35000000000000003</v>
      </c>
      <c r="O239" s="82">
        <f t="shared" ca="1" si="100"/>
        <v>0.35000000000000003</v>
      </c>
      <c r="P239" s="82">
        <f t="shared" ca="1" si="100"/>
        <v>0.35000000000000003</v>
      </c>
      <c r="Q239" s="82">
        <f t="shared" ca="1" si="100"/>
        <v>0.35000000000000003</v>
      </c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>
        <f t="shared" ref="J240:Q243" ca="1" si="101">J226*J233</f>
        <v>0</v>
      </c>
      <c r="K240" s="72">
        <f t="shared" ca="1" si="101"/>
        <v>0</v>
      </c>
      <c r="L240" s="72">
        <f t="shared" ca="1" si="101"/>
        <v>0</v>
      </c>
      <c r="M240" s="72">
        <f t="shared" ca="1" si="101"/>
        <v>0</v>
      </c>
      <c r="N240" s="72">
        <f t="shared" ca="1" si="101"/>
        <v>0</v>
      </c>
      <c r="O240" s="72">
        <f t="shared" ca="1" si="101"/>
        <v>0</v>
      </c>
      <c r="P240" s="72">
        <f t="shared" ca="1" si="101"/>
        <v>0</v>
      </c>
      <c r="Q240" s="72">
        <f t="shared" ca="1" si="101"/>
        <v>0</v>
      </c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>
        <f t="shared" ca="1" si="101"/>
        <v>9.0260513513925407</v>
      </c>
      <c r="K241" s="72">
        <f t="shared" ca="1" si="101"/>
        <v>9.1198947655586977</v>
      </c>
      <c r="L241" s="72">
        <f t="shared" ca="1" si="101"/>
        <v>8.2764152125908694</v>
      </c>
      <c r="M241" s="72">
        <f t="shared" ca="1" si="101"/>
        <v>7.5631178874009022</v>
      </c>
      <c r="N241" s="72">
        <f t="shared" ca="1" si="101"/>
        <v>6.0978656750030806</v>
      </c>
      <c r="O241" s="72">
        <f t="shared" ca="1" si="101"/>
        <v>4.2317233339705576</v>
      </c>
      <c r="P241" s="72">
        <f t="shared" ca="1" si="101"/>
        <v>1.5619989157245371</v>
      </c>
      <c r="Q241" s="72">
        <f t="shared" ca="1" si="101"/>
        <v>8.3356911053042354E-2</v>
      </c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>
        <f t="shared" ca="1" si="101"/>
        <v>15.750000000000002</v>
      </c>
      <c r="K242" s="72">
        <f t="shared" ca="1" si="101"/>
        <v>15.750000000000002</v>
      </c>
      <c r="L242" s="72">
        <f t="shared" ca="1" si="101"/>
        <v>15.750000000000002</v>
      </c>
      <c r="M242" s="72">
        <f t="shared" ca="1" si="101"/>
        <v>15.750000000000002</v>
      </c>
      <c r="N242" s="72">
        <f t="shared" ca="1" si="101"/>
        <v>15.750000000000002</v>
      </c>
      <c r="O242" s="72">
        <f t="shared" ca="1" si="101"/>
        <v>15.750000000000002</v>
      </c>
      <c r="P242" s="72">
        <f t="shared" ca="1" si="101"/>
        <v>15.750000000000002</v>
      </c>
      <c r="Q242" s="72">
        <f t="shared" ca="1" si="101"/>
        <v>14.056491211488929</v>
      </c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>
        <f t="shared" ca="1" si="101"/>
        <v>8.8772845953002619</v>
      </c>
      <c r="K243" s="73">
        <f t="shared" ca="1" si="101"/>
        <v>9.6653464131598152</v>
      </c>
      <c r="L243" s="73">
        <f t="shared" ca="1" si="101"/>
        <v>10.523366721377657</v>
      </c>
      <c r="M243" s="73">
        <f t="shared" ca="1" si="101"/>
        <v>10.970609807036208</v>
      </c>
      <c r="N243" s="73">
        <f t="shared" ca="1" si="101"/>
        <v>10.970609807036208</v>
      </c>
      <c r="O243" s="73">
        <f t="shared" ca="1" si="101"/>
        <v>10.970609807036208</v>
      </c>
      <c r="P243" s="73">
        <f t="shared" ca="1" si="101"/>
        <v>10.970609807036208</v>
      </c>
      <c r="Q243" s="73">
        <f t="shared" ca="1" si="101"/>
        <v>10.970609807036208</v>
      </c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>
        <f ca="1">SUM(J239:J243)</f>
        <v>34.0033359466928</v>
      </c>
      <c r="K244" s="51">
        <f t="shared" ref="K244:Q244" ca="1" si="102">SUM(K239:K243)</f>
        <v>34.885241178718516</v>
      </c>
      <c r="L244" s="51">
        <f t="shared" ca="1" si="102"/>
        <v>34.899781933968526</v>
      </c>
      <c r="M244" s="51">
        <f t="shared" ca="1" si="102"/>
        <v>34.633727694437113</v>
      </c>
      <c r="N244" s="51">
        <f t="shared" ca="1" si="102"/>
        <v>33.168475482039291</v>
      </c>
      <c r="O244" s="51">
        <f t="shared" ca="1" si="102"/>
        <v>31.302333141006766</v>
      </c>
      <c r="P244" s="51">
        <f t="shared" ca="1" si="102"/>
        <v>28.632608722760747</v>
      </c>
      <c r="Q244" s="51">
        <f t="shared" ca="1" si="102"/>
        <v>25.46045792957818</v>
      </c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>
        <f>IF(YEAR(J$219)-YEAR($I$177)&gt;$G247,0,J242)</f>
        <v>0</v>
      </c>
      <c r="K247" s="82">
        <f t="shared" ref="K247:Q247" si="103">IF(YEAR(K$219)-YEAR($I$177)&gt;$G247,0,K242)</f>
        <v>0</v>
      </c>
      <c r="L247" s="82">
        <f t="shared" si="103"/>
        <v>0</v>
      </c>
      <c r="M247" s="82">
        <f t="shared" si="103"/>
        <v>0</v>
      </c>
      <c r="N247" s="82">
        <f t="shared" si="103"/>
        <v>0</v>
      </c>
      <c r="O247" s="82">
        <f t="shared" si="103"/>
        <v>0</v>
      </c>
      <c r="P247" s="82">
        <f t="shared" si="103"/>
        <v>0</v>
      </c>
      <c r="Q247" s="82">
        <f t="shared" si="103"/>
        <v>0</v>
      </c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04">V13</f>
        <v>3</v>
      </c>
      <c r="H248" s="17"/>
      <c r="I248" s="17"/>
      <c r="J248" s="73">
        <f t="shared" ref="J248:Q248" ca="1" si="105">IF(YEAR(J$219)-YEAR($I$177)&gt;$G248,0,J243)</f>
        <v>8.8772845953002619</v>
      </c>
      <c r="K248" s="73">
        <f t="shared" ca="1" si="105"/>
        <v>9.6653464131598152</v>
      </c>
      <c r="L248" s="73">
        <f t="shared" ca="1" si="105"/>
        <v>10.523366721377657</v>
      </c>
      <c r="M248" s="73">
        <f t="shared" si="105"/>
        <v>0</v>
      </c>
      <c r="N248" s="73">
        <f t="shared" si="105"/>
        <v>0</v>
      </c>
      <c r="O248" s="73">
        <f t="shared" si="105"/>
        <v>0</v>
      </c>
      <c r="P248" s="73">
        <f t="shared" si="105"/>
        <v>0</v>
      </c>
      <c r="Q248" s="73">
        <f t="shared" si="105"/>
        <v>0</v>
      </c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>
        <f ca="1">SUM(J247:J248)</f>
        <v>8.8772845953002619</v>
      </c>
      <c r="K249" s="51">
        <f t="shared" ref="K249:Q249" ca="1" si="106">SUM(K247:K248)</f>
        <v>9.6653464131598152</v>
      </c>
      <c r="L249" s="51">
        <f t="shared" ca="1" si="106"/>
        <v>10.523366721377657</v>
      </c>
      <c r="M249" s="51">
        <f t="shared" si="106"/>
        <v>0</v>
      </c>
      <c r="N249" s="51">
        <f t="shared" si="106"/>
        <v>0</v>
      </c>
      <c r="O249" s="51">
        <f t="shared" si="106"/>
        <v>0</v>
      </c>
      <c r="P249" s="51">
        <f t="shared" si="106"/>
        <v>0</v>
      </c>
      <c r="Q249" s="51">
        <f t="shared" si="106"/>
        <v>0</v>
      </c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>
        <f>MAX(0, MIN($G252/$H252,$G252-SUM($I252:I252)))</f>
        <v>0.1</v>
      </c>
      <c r="K252" s="82">
        <f>MAX(0, MIN($G252/$H252,$G252-SUM($I252:J252)))</f>
        <v>0.1</v>
      </c>
      <c r="L252" s="82">
        <f>MAX(0, MIN($G252/$H252,$G252-SUM($I252:K252)))</f>
        <v>0.1</v>
      </c>
      <c r="M252" s="82">
        <f>MAX(0, MIN($G252/$H252,$G252-SUM($I252:L252)))</f>
        <v>0.1</v>
      </c>
      <c r="N252" s="82">
        <f>MAX(0, MIN($G252/$H252,$G252-SUM($I252:M252)))</f>
        <v>9.9999999999999978E-2</v>
      </c>
      <c r="O252" s="82">
        <f>MAX(0, MIN($G252/$H252,$G252-SUM($I252:N252)))</f>
        <v>0</v>
      </c>
      <c r="P252" s="82">
        <f>MAX(0, MIN($G252/$H252,$G252-SUM($I252:O252)))</f>
        <v>0</v>
      </c>
      <c r="Q252" s="82">
        <f>MAX(0, MIN($G252/$H252,$G252-SUM($I252:P252)))</f>
        <v>0</v>
      </c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>
        <f>MAX(0, MIN($G253/$H253,$G253-SUM($I253:I253)))</f>
        <v>0.57291666666666663</v>
      </c>
      <c r="K253" s="72">
        <f>MAX(0, MIN($G253/$H253,$G253-SUM($I253:J253)))</f>
        <v>0.57291666666666663</v>
      </c>
      <c r="L253" s="72">
        <f>MAX(0, MIN($G253/$H253,$G253-SUM($I253:K253)))</f>
        <v>0.57291666666666663</v>
      </c>
      <c r="M253" s="72">
        <f>MAX(0, MIN($G253/$H253,$G253-SUM($I253:L253)))</f>
        <v>0.57291666666666663</v>
      </c>
      <c r="N253" s="72">
        <f>MAX(0, MIN($G253/$H253,$G253-SUM($I253:M253)))</f>
        <v>0.57291666666666663</v>
      </c>
      <c r="O253" s="72">
        <f>MAX(0, MIN($G253/$H253,$G253-SUM($I253:N253)))</f>
        <v>0.57291666666666663</v>
      </c>
      <c r="P253" s="72">
        <f>MAX(0, MIN($G253/$H253,$G253-SUM($I253:O253)))</f>
        <v>4.4408920985006262E-16</v>
      </c>
      <c r="Q253" s="72">
        <f>MAX(0, MIN($G253/$H253,$G253-SUM($I253:P253)))</f>
        <v>0</v>
      </c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>
        <f>MAX(0, MIN($G254/$H254,$G254-SUM($I254:I254)))</f>
        <v>0.5625</v>
      </c>
      <c r="K254" s="72">
        <f>MAX(0, MIN($G254/$H254,$G254-SUM($I254:J254)))</f>
        <v>0.5625</v>
      </c>
      <c r="L254" s="72">
        <f>MAX(0, MIN($G254/$H254,$G254-SUM($I254:K254)))</f>
        <v>0.5625</v>
      </c>
      <c r="M254" s="72">
        <f>MAX(0, MIN($G254/$H254,$G254-SUM($I254:L254)))</f>
        <v>0.5625</v>
      </c>
      <c r="N254" s="72">
        <f>MAX(0, MIN($G254/$H254,$G254-SUM($I254:M254)))</f>
        <v>0.5625</v>
      </c>
      <c r="O254" s="72">
        <f>MAX(0, MIN($G254/$H254,$G254-SUM($I254:N254)))</f>
        <v>0.5625</v>
      </c>
      <c r="P254" s="72">
        <f>MAX(0, MIN($G254/$H254,$G254-SUM($I254:O254)))</f>
        <v>0.5625</v>
      </c>
      <c r="Q254" s="72">
        <f>MAX(0, MIN($G254/$H254,$G254-SUM($I254:P254)))</f>
        <v>0.5625</v>
      </c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>
        <f>MAX(0, MIN($G255/$H255,$G255-SUM($I255:I255)))</f>
        <v>0.25</v>
      </c>
      <c r="K255" s="73">
        <f>MAX(0, MIN($G255/$H255,$G255-SUM($I255:J255)))</f>
        <v>0.25</v>
      </c>
      <c r="L255" s="73">
        <f>MAX(0, MIN($G255/$H255,$G255-SUM($I255:K255)))</f>
        <v>0.25</v>
      </c>
      <c r="M255" s="73">
        <f>MAX(0, MIN($G255/$H255,$G255-SUM($I255:L255)))</f>
        <v>0.25</v>
      </c>
      <c r="N255" s="73">
        <f>MAX(0, MIN($G255/$H255,$G255-SUM($I255:M255)))</f>
        <v>0.25</v>
      </c>
      <c r="O255" s="73">
        <f>MAX(0, MIN($G255/$H255,$G255-SUM($I255:N255)))</f>
        <v>0.25</v>
      </c>
      <c r="P255" s="73">
        <f>MAX(0, MIN($G255/$H255,$G255-SUM($I255:O255)))</f>
        <v>0.25</v>
      </c>
      <c r="Q255" s="73">
        <f>MAX(0, MIN($G255/$H255,$G255-SUM($I255:P255)))</f>
        <v>0.25</v>
      </c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>
        <f>SUM(J252:J255)</f>
        <v>1.4854166666666666</v>
      </c>
      <c r="K256" s="51">
        <f t="shared" ref="K256:Q256" si="107">SUM(K252:K255)</f>
        <v>1.4854166666666666</v>
      </c>
      <c r="L256" s="51">
        <f t="shared" si="107"/>
        <v>1.4854166666666666</v>
      </c>
      <c r="M256" s="51">
        <f t="shared" si="107"/>
        <v>1.4854166666666666</v>
      </c>
      <c r="N256" s="51">
        <f t="shared" si="107"/>
        <v>1.4854166666666666</v>
      </c>
      <c r="O256" s="51">
        <f t="shared" si="107"/>
        <v>1.3854166666666665</v>
      </c>
      <c r="P256" s="51">
        <f t="shared" si="107"/>
        <v>0.81250000000000044</v>
      </c>
      <c r="Q256" s="51">
        <f t="shared" si="107"/>
        <v>0.8125</v>
      </c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>
        <f ca="1">J244</f>
        <v>34.0033359466928</v>
      </c>
      <c r="K259" s="82">
        <f t="shared" ref="K259:Q259" ca="1" si="108">K244</f>
        <v>34.885241178718516</v>
      </c>
      <c r="L259" s="82">
        <f t="shared" ca="1" si="108"/>
        <v>34.899781933968526</v>
      </c>
      <c r="M259" s="82">
        <f t="shared" ca="1" si="108"/>
        <v>34.633727694437113</v>
      </c>
      <c r="N259" s="82">
        <f t="shared" ca="1" si="108"/>
        <v>33.168475482039291</v>
      </c>
      <c r="O259" s="82">
        <f t="shared" ca="1" si="108"/>
        <v>31.302333141006766</v>
      </c>
      <c r="P259" s="82">
        <f t="shared" ca="1" si="108"/>
        <v>28.632608722760747</v>
      </c>
      <c r="Q259" s="82">
        <f t="shared" ca="1" si="108"/>
        <v>25.46045792957818</v>
      </c>
    </row>
    <row r="260" spans="1:24" x14ac:dyDescent="0.2">
      <c r="B260" s="20" t="s">
        <v>157</v>
      </c>
      <c r="J260" s="50">
        <f>J256</f>
        <v>1.4854166666666666</v>
      </c>
      <c r="K260" s="50">
        <f t="shared" ref="K260:Q260" si="109">K256</f>
        <v>1.4854166666666666</v>
      </c>
      <c r="L260" s="50">
        <f t="shared" si="109"/>
        <v>1.4854166666666666</v>
      </c>
      <c r="M260" s="50">
        <f t="shared" si="109"/>
        <v>1.4854166666666666</v>
      </c>
      <c r="N260" s="50">
        <f t="shared" si="109"/>
        <v>1.4854166666666666</v>
      </c>
      <c r="O260" s="50">
        <f t="shared" si="109"/>
        <v>1.3854166666666665</v>
      </c>
      <c r="P260" s="50">
        <f t="shared" si="109"/>
        <v>0.81250000000000044</v>
      </c>
      <c r="Q260" s="50">
        <f t="shared" si="109"/>
        <v>0.8125</v>
      </c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>
        <f ca="1">SUM(J259:J260)</f>
        <v>35.488752613359466</v>
      </c>
      <c r="K261" s="51">
        <f t="shared" ref="K261:Q261" ca="1" si="110">SUM(K259:K260)</f>
        <v>36.370657845385182</v>
      </c>
      <c r="L261" s="51">
        <f t="shared" ca="1" si="110"/>
        <v>36.385198600635192</v>
      </c>
      <c r="M261" s="51">
        <f t="shared" ca="1" si="110"/>
        <v>36.119144361103778</v>
      </c>
      <c r="N261" s="51">
        <f t="shared" ca="1" si="110"/>
        <v>34.653892148705957</v>
      </c>
      <c r="O261" s="51">
        <f t="shared" ca="1" si="110"/>
        <v>32.687749807673434</v>
      </c>
      <c r="P261" s="51">
        <f t="shared" ca="1" si="110"/>
        <v>29.445108722760747</v>
      </c>
      <c r="Q261" s="51">
        <f t="shared" ca="1" si="110"/>
        <v>26.27295792957818</v>
      </c>
    </row>
    <row r="262" spans="1:24" x14ac:dyDescent="0.2">
      <c r="B262" s="20" t="s">
        <v>159</v>
      </c>
      <c r="J262" s="50">
        <f ca="1">-J171</f>
        <v>-1.2500000000000001E-2</v>
      </c>
      <c r="K262" s="50">
        <f t="shared" ref="K262:Q262" ca="1" si="111">-K171</f>
        <v>-1.2500000000000001E-2</v>
      </c>
      <c r="L262" s="50">
        <f t="shared" ca="1" si="111"/>
        <v>-1.2500000000000001E-2</v>
      </c>
      <c r="M262" s="50">
        <f t="shared" ca="1" si="111"/>
        <v>-1.2500000000000001E-2</v>
      </c>
      <c r="N262" s="50">
        <f t="shared" ca="1" si="111"/>
        <v>-1.2500000000000001E-2</v>
      </c>
      <c r="O262" s="50">
        <f t="shared" ca="1" si="111"/>
        <v>-1.2500000000000001E-2</v>
      </c>
      <c r="P262" s="50">
        <f t="shared" ca="1" si="111"/>
        <v>-1.2500000000000001E-2</v>
      </c>
      <c r="Q262" s="50">
        <f t="shared" ca="1" si="111"/>
        <v>-1.2500000000002167E-2</v>
      </c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>
        <f ca="1">SUM(J261:J262)</f>
        <v>35.476252613359463</v>
      </c>
      <c r="K263" s="51">
        <f t="shared" ref="K263:Q263" ca="1" si="112">SUM(K261:K262)</f>
        <v>36.358157845385179</v>
      </c>
      <c r="L263" s="51">
        <f t="shared" ca="1" si="112"/>
        <v>36.372698600635189</v>
      </c>
      <c r="M263" s="51">
        <f t="shared" ca="1" si="112"/>
        <v>36.106644361103776</v>
      </c>
      <c r="N263" s="51">
        <f t="shared" ca="1" si="112"/>
        <v>34.641392148705954</v>
      </c>
      <c r="O263" s="51">
        <f t="shared" ca="1" si="112"/>
        <v>32.675249807673431</v>
      </c>
      <c r="P263" s="51">
        <f t="shared" ca="1" si="112"/>
        <v>29.432608722760747</v>
      </c>
      <c r="Q263" s="51">
        <f t="shared" ca="1" si="112"/>
        <v>26.260457929578177</v>
      </c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>
        <f ca="1">J249</f>
        <v>8.8772845953002619</v>
      </c>
      <c r="K266" s="82">
        <f t="shared" ref="K266:Q266" ca="1" si="113">K249</f>
        <v>9.6653464131598152</v>
      </c>
      <c r="L266" s="82">
        <f t="shared" ca="1" si="113"/>
        <v>10.523366721377657</v>
      </c>
      <c r="M266" s="82">
        <f t="shared" si="113"/>
        <v>0</v>
      </c>
      <c r="N266" s="82">
        <f t="shared" si="113"/>
        <v>0</v>
      </c>
      <c r="O266" s="82">
        <f t="shared" si="113"/>
        <v>0</v>
      </c>
      <c r="P266" s="82">
        <f t="shared" si="113"/>
        <v>0</v>
      </c>
      <c r="Q266" s="82">
        <f t="shared" si="113"/>
        <v>0</v>
      </c>
    </row>
    <row r="267" spans="1:24" x14ac:dyDescent="0.2">
      <c r="B267" s="20" t="s">
        <v>157</v>
      </c>
      <c r="J267" s="50">
        <f>J256</f>
        <v>1.4854166666666666</v>
      </c>
      <c r="K267" s="50">
        <f t="shared" ref="K267:Q267" si="114">K256</f>
        <v>1.4854166666666666</v>
      </c>
      <c r="L267" s="50">
        <f t="shared" si="114"/>
        <v>1.4854166666666666</v>
      </c>
      <c r="M267" s="50">
        <f t="shared" si="114"/>
        <v>1.4854166666666666</v>
      </c>
      <c r="N267" s="50">
        <f t="shared" si="114"/>
        <v>1.4854166666666666</v>
      </c>
      <c r="O267" s="50">
        <f t="shared" si="114"/>
        <v>1.3854166666666665</v>
      </c>
      <c r="P267" s="50">
        <f t="shared" si="114"/>
        <v>0.81250000000000044</v>
      </c>
      <c r="Q267" s="50">
        <f t="shared" si="114"/>
        <v>0.8125</v>
      </c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>
        <f ca="1">SUM(J266:J267)</f>
        <v>10.362701261966929</v>
      </c>
      <c r="K268" s="51">
        <f t="shared" ref="K268:Q268" ca="1" si="115">SUM(K266:K267)</f>
        <v>11.150763079826483</v>
      </c>
      <c r="L268" s="51">
        <f t="shared" ca="1" si="115"/>
        <v>12.008783388044325</v>
      </c>
      <c r="M268" s="51">
        <f t="shared" si="115"/>
        <v>1.4854166666666666</v>
      </c>
      <c r="N268" s="51">
        <f t="shared" si="115"/>
        <v>1.4854166666666666</v>
      </c>
      <c r="O268" s="51">
        <f t="shared" si="115"/>
        <v>1.3854166666666665</v>
      </c>
      <c r="P268" s="51">
        <f t="shared" si="115"/>
        <v>0.81250000000000044</v>
      </c>
      <c r="Q268" s="51">
        <f t="shared" si="115"/>
        <v>0.8125</v>
      </c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116">J$116</f>
        <v>43100</v>
      </c>
      <c r="K275" s="54">
        <f t="shared" si="116"/>
        <v>43465</v>
      </c>
      <c r="L275" s="54">
        <f t="shared" si="116"/>
        <v>43830</v>
      </c>
      <c r="M275" s="54">
        <f t="shared" si="116"/>
        <v>44196</v>
      </c>
      <c r="N275" s="54">
        <f t="shared" si="116"/>
        <v>44561</v>
      </c>
      <c r="O275" s="54">
        <f t="shared" si="116"/>
        <v>44926</v>
      </c>
      <c r="P275" s="54">
        <f t="shared" si="116"/>
        <v>45291</v>
      </c>
      <c r="Q275" s="54">
        <f t="shared" si="116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>
        <f>SUM(I181:I182)</f>
        <v>275</v>
      </c>
      <c r="J279" s="82">
        <f t="shared" ref="J279:Q279" ca="1" si="117">SUM(J181:J182)</f>
        <v>240.7743629367167</v>
      </c>
      <c r="K279" s="82">
        <f t="shared" ca="1" si="117"/>
        <v>204.09855245639062</v>
      </c>
      <c r="L279" s="82">
        <f t="shared" ca="1" si="117"/>
        <v>163.74212365875911</v>
      </c>
      <c r="M279" s="82">
        <f t="shared" ca="1" si="117"/>
        <v>129.97119235680992</v>
      </c>
      <c r="N279" s="82">
        <f t="shared" ca="1" si="117"/>
        <v>91.769377643302107</v>
      </c>
      <c r="O279" s="82">
        <f t="shared" ca="1" si="117"/>
        <v>49.288066822383158</v>
      </c>
      <c r="P279" s="82">
        <f t="shared" ca="1" si="117"/>
        <v>2.7785637017680784</v>
      </c>
      <c r="Q279" s="82">
        <f t="shared" ca="1" si="117"/>
        <v>0</v>
      </c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>
        <f>SUM(I181:I183)</f>
        <v>500</v>
      </c>
      <c r="J280" s="72">
        <f t="shared" ref="J280:Q280" ca="1" si="118">SUM(J181:J183)</f>
        <v>465.77436293671667</v>
      </c>
      <c r="K280" s="72">
        <f t="shared" ca="1" si="118"/>
        <v>429.09855245639062</v>
      </c>
      <c r="L280" s="72">
        <f t="shared" ca="1" si="118"/>
        <v>388.74212365875911</v>
      </c>
      <c r="M280" s="72">
        <f t="shared" ca="1" si="118"/>
        <v>354.97119235680992</v>
      </c>
      <c r="N280" s="72">
        <f t="shared" ca="1" si="118"/>
        <v>316.76937764330211</v>
      </c>
      <c r="O280" s="72">
        <f t="shared" ca="1" si="118"/>
        <v>274.28806682238314</v>
      </c>
      <c r="P280" s="72">
        <f t="shared" ca="1" si="118"/>
        <v>227.77856370176806</v>
      </c>
      <c r="Q280" s="72">
        <f t="shared" ca="1" si="118"/>
        <v>176.61403461396932</v>
      </c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>
        <f>I185</f>
        <v>600</v>
      </c>
      <c r="J281" s="73">
        <f t="shared" ref="J281:Q281" ca="1" si="119">J185</f>
        <v>574.65164753201691</v>
      </c>
      <c r="K281" s="73">
        <f t="shared" ca="1" si="119"/>
        <v>547.64118346485066</v>
      </c>
      <c r="L281" s="73">
        <f t="shared" ca="1" si="119"/>
        <v>517.80812138859687</v>
      </c>
      <c r="M281" s="73">
        <f t="shared" ca="1" si="119"/>
        <v>484.03719008664768</v>
      </c>
      <c r="N281" s="73">
        <f t="shared" ca="1" si="119"/>
        <v>445.83537537313987</v>
      </c>
      <c r="O281" s="73">
        <f t="shared" ca="1" si="119"/>
        <v>403.35406455222085</v>
      </c>
      <c r="P281" s="73">
        <f t="shared" ca="1" si="119"/>
        <v>356.84456143160583</v>
      </c>
      <c r="Q281" s="73">
        <f t="shared" ca="1" si="119"/>
        <v>305.68003234380706</v>
      </c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>
        <f>I50</f>
        <v>90</v>
      </c>
      <c r="J284" s="82">
        <f>J50</f>
        <v>94.5</v>
      </c>
      <c r="K284" s="82">
        <f t="shared" ref="K284:Q284" si="120">K50</f>
        <v>100.17</v>
      </c>
      <c r="L284" s="82">
        <f t="shared" si="120"/>
        <v>107.18190000000001</v>
      </c>
      <c r="M284" s="82">
        <f t="shared" si="120"/>
        <v>113.61281400000001</v>
      </c>
      <c r="N284" s="82">
        <f t="shared" si="120"/>
        <v>119.29345470000001</v>
      </c>
      <c r="O284" s="82">
        <f t="shared" si="120"/>
        <v>124.06519288800001</v>
      </c>
      <c r="P284" s="82">
        <f t="shared" si="120"/>
        <v>129.02780060352001</v>
      </c>
      <c r="Q284" s="82">
        <f t="shared" si="120"/>
        <v>134.18891262766081</v>
      </c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72">
        <f ca="1">J285</f>
        <v>25.12605135139254</v>
      </c>
      <c r="J285" s="72">
        <f ca="1">J259-J266</f>
        <v>25.12605135139254</v>
      </c>
      <c r="K285" s="72">
        <f t="shared" ref="K285:Q285" ca="1" si="121">K259-K266</f>
        <v>25.219894765558699</v>
      </c>
      <c r="L285" s="72">
        <f t="shared" ca="1" si="121"/>
        <v>24.376415212590871</v>
      </c>
      <c r="M285" s="72">
        <f t="shared" ca="1" si="121"/>
        <v>34.633727694437113</v>
      </c>
      <c r="N285" s="72">
        <f t="shared" ca="1" si="121"/>
        <v>33.168475482039291</v>
      </c>
      <c r="O285" s="72">
        <f t="shared" ca="1" si="121"/>
        <v>31.302333141006766</v>
      </c>
      <c r="P285" s="72">
        <f t="shared" ca="1" si="121"/>
        <v>28.632608722760747</v>
      </c>
      <c r="Q285" s="72">
        <f t="shared" ca="1" si="121"/>
        <v>25.46045792957818</v>
      </c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73">
        <f>-I155</f>
        <v>17</v>
      </c>
      <c r="J286" s="73">
        <f>-J155</f>
        <v>17.850000000000001</v>
      </c>
      <c r="K286" s="73">
        <f t="shared" ref="K286:Q286" si="122">-K155</f>
        <v>18.920999999999999</v>
      </c>
      <c r="L286" s="73">
        <f t="shared" si="122"/>
        <v>20.245470000000001</v>
      </c>
      <c r="M286" s="73">
        <f t="shared" si="122"/>
        <v>21.460198200000001</v>
      </c>
      <c r="N286" s="73">
        <f t="shared" si="122"/>
        <v>22.533208110000004</v>
      </c>
      <c r="O286" s="73">
        <f t="shared" si="122"/>
        <v>23.434536434400002</v>
      </c>
      <c r="P286" s="73">
        <f t="shared" si="122"/>
        <v>24.371917891776004</v>
      </c>
      <c r="Q286" s="73">
        <f t="shared" si="122"/>
        <v>25.346794607447041</v>
      </c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>
        <f>I279/I$284</f>
        <v>3.0555555555555554</v>
      </c>
      <c r="J289" s="122">
        <f t="shared" ref="J289:Q289" ca="1" si="123">J279/J$284</f>
        <v>2.5478768564731924</v>
      </c>
      <c r="K289" s="122">
        <f t="shared" ca="1" si="123"/>
        <v>2.037521737609969</v>
      </c>
      <c r="L289" s="122">
        <f t="shared" ca="1" si="123"/>
        <v>1.5277031257960447</v>
      </c>
      <c r="M289" s="122">
        <f t="shared" ca="1" si="123"/>
        <v>1.1439835682338606</v>
      </c>
      <c r="N289" s="122">
        <f t="shared" ca="1" si="123"/>
        <v>0.7692742059829214</v>
      </c>
      <c r="O289" s="122">
        <f t="shared" ca="1" si="123"/>
        <v>0.39727554260023612</v>
      </c>
      <c r="P289" s="122">
        <f t="shared" ca="1" si="123"/>
        <v>2.153461260884483E-2</v>
      </c>
      <c r="Q289" s="122">
        <f t="shared" ca="1" si="123"/>
        <v>0</v>
      </c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>
        <f t="shared" ref="I290:Q290" si="124">I280/I$284</f>
        <v>5.5555555555555554</v>
      </c>
      <c r="J290" s="123">
        <f t="shared" ca="1" si="124"/>
        <v>4.9288292374255729</v>
      </c>
      <c r="K290" s="123">
        <f t="shared" ca="1" si="124"/>
        <v>4.2837032290744794</v>
      </c>
      <c r="L290" s="123">
        <f t="shared" ca="1" si="124"/>
        <v>3.6269381645479233</v>
      </c>
      <c r="M290" s="123">
        <f t="shared" ca="1" si="124"/>
        <v>3.1243939821507269</v>
      </c>
      <c r="N290" s="123">
        <f t="shared" ca="1" si="124"/>
        <v>2.655379362094223</v>
      </c>
      <c r="O290" s="123">
        <f t="shared" ca="1" si="124"/>
        <v>2.2108381927072567</v>
      </c>
      <c r="P290" s="123">
        <f t="shared" ca="1" si="124"/>
        <v>1.7653448530963647</v>
      </c>
      <c r="Q290" s="123">
        <f t="shared" ca="1" si="124"/>
        <v>1.3161596674087908</v>
      </c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>
        <f t="shared" ref="I291:Q291" si="125">I281/I$284</f>
        <v>6.666666666666667</v>
      </c>
      <c r="J291" s="124">
        <f t="shared" ca="1" si="125"/>
        <v>6.080969815153618</v>
      </c>
      <c r="K291" s="124">
        <f t="shared" ca="1" si="125"/>
        <v>5.4671177344998565</v>
      </c>
      <c r="L291" s="124">
        <f t="shared" ca="1" si="125"/>
        <v>4.8311153411965719</v>
      </c>
      <c r="M291" s="124">
        <f t="shared" ca="1" si="125"/>
        <v>4.2604101865362445</v>
      </c>
      <c r="N291" s="124">
        <f t="shared" ca="1" si="125"/>
        <v>3.7372995567470966</v>
      </c>
      <c r="O291" s="124">
        <f t="shared" ca="1" si="125"/>
        <v>3.2511460721811729</v>
      </c>
      <c r="P291" s="124">
        <f t="shared" ca="1" si="125"/>
        <v>2.7656408910520542</v>
      </c>
      <c r="Q291" s="124">
        <f t="shared" ca="1" si="125"/>
        <v>2.2779827808277227</v>
      </c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22">
        <f ca="1">I284/I285</f>
        <v>3.5819396665768575</v>
      </c>
      <c r="J294" s="122">
        <f t="shared" ref="J294:Q294" ca="1" si="126">J284/J285</f>
        <v>3.7610366499057006</v>
      </c>
      <c r="K294" s="122">
        <f t="shared" ca="1" si="126"/>
        <v>3.9718643131214084</v>
      </c>
      <c r="L294" s="122">
        <f t="shared" ca="1" si="126"/>
        <v>4.396950866862432</v>
      </c>
      <c r="M294" s="122">
        <f t="shared" ca="1" si="126"/>
        <v>3.2804096342839979</v>
      </c>
      <c r="N294" s="122">
        <f t="shared" ca="1" si="126"/>
        <v>3.5965914310592098</v>
      </c>
      <c r="O294" s="122">
        <f t="shared" ca="1" si="126"/>
        <v>3.9634487413167232</v>
      </c>
      <c r="P294" s="122">
        <f t="shared" ca="1" si="126"/>
        <v>4.506323606516256</v>
      </c>
      <c r="Q294" s="122">
        <f t="shared" ca="1" si="126"/>
        <v>5.2704830761024732</v>
      </c>
    </row>
    <row r="295" spans="1:24" x14ac:dyDescent="0.2">
      <c r="B295" s="3" t="s">
        <v>177</v>
      </c>
      <c r="I295" s="124">
        <f ca="1">(I284-I286)/I285</f>
        <v>2.905351062890118</v>
      </c>
      <c r="J295" s="124">
        <f t="shared" ref="J295:Q295" ca="1" si="127">(J284-J286)/J285</f>
        <v>3.0506186160346238</v>
      </c>
      <c r="K295" s="124">
        <f t="shared" ca="1" si="127"/>
        <v>3.2216232761984753</v>
      </c>
      <c r="L295" s="124">
        <f t="shared" ca="1" si="127"/>
        <v>3.5664157031217507</v>
      </c>
      <c r="M295" s="124">
        <f t="shared" ca="1" si="127"/>
        <v>2.6607767033636871</v>
      </c>
      <c r="N295" s="124">
        <f t="shared" ca="1" si="127"/>
        <v>2.9172352718591368</v>
      </c>
      <c r="O295" s="124">
        <f t="shared" ca="1" si="127"/>
        <v>3.214797312401342</v>
      </c>
      <c r="P295" s="124">
        <f t="shared" ca="1" si="127"/>
        <v>3.6551291475076293</v>
      </c>
      <c r="Q295" s="124">
        <f t="shared" ca="1" si="127"/>
        <v>4.274947383949784</v>
      </c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128">I$116</f>
        <v>42735</v>
      </c>
      <c r="J303" s="54">
        <f t="shared" ref="J303:Q303" si="129">J$116</f>
        <v>43100</v>
      </c>
      <c r="K303" s="54">
        <f t="shared" si="129"/>
        <v>43465</v>
      </c>
      <c r="L303" s="54">
        <f t="shared" si="129"/>
        <v>43830</v>
      </c>
      <c r="M303" s="54">
        <f t="shared" si="129"/>
        <v>44196</v>
      </c>
      <c r="N303" s="54">
        <f t="shared" si="129"/>
        <v>44561</v>
      </c>
      <c r="O303" s="54">
        <f t="shared" si="129"/>
        <v>44926</v>
      </c>
      <c r="P303" s="54">
        <f t="shared" si="129"/>
        <v>45291</v>
      </c>
      <c r="Q303" s="54">
        <f t="shared" si="129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6929-F835-4185-B7BA-37A5A4265122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203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 ca="1"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>
        <f ca="1">IF($G59=1,-J$263,0)</f>
        <v>-35.476252613359463</v>
      </c>
      <c r="K59" s="49">
        <f t="shared" ref="K59:Q59" ca="1" si="12">IF($G59=1,-K$263,0)</f>
        <v>-36.358157845385179</v>
      </c>
      <c r="L59" s="49">
        <f t="shared" ca="1" si="12"/>
        <v>-36.372698600635189</v>
      </c>
      <c r="M59" s="49">
        <f t="shared" ca="1" si="12"/>
        <v>-36.106644361103776</v>
      </c>
      <c r="N59" s="49">
        <f t="shared" ca="1" si="12"/>
        <v>-34.641392148705954</v>
      </c>
      <c r="O59" s="49">
        <f t="shared" ca="1" si="12"/>
        <v>-32.675249807673431</v>
      </c>
      <c r="P59" s="49">
        <f t="shared" ca="1" si="12"/>
        <v>-29.432608722760747</v>
      </c>
      <c r="Q59" s="49">
        <f t="shared" ca="1" si="12"/>
        <v>-26.260457929578127</v>
      </c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 ca="1">J59+J55</f>
        <v>41.173747386640542</v>
      </c>
      <c r="K60" s="51">
        <f t="shared" ref="K60:Q60" ca="1" si="13">K59+K55</f>
        <v>44.890842154614816</v>
      </c>
      <c r="L60" s="51">
        <f t="shared" ca="1" si="13"/>
        <v>50.563731399364826</v>
      </c>
      <c r="M60" s="51">
        <f t="shared" ca="1" si="13"/>
        <v>56.045971438896231</v>
      </c>
      <c r="N60" s="51">
        <f t="shared" ca="1" si="13"/>
        <v>62.118854441294054</v>
      </c>
      <c r="O60" s="51">
        <f t="shared" ca="1" si="13"/>
        <v>67.955406645926587</v>
      </c>
      <c r="P60" s="51">
        <f t="shared" ca="1" si="13"/>
        <v>75.223273988983252</v>
      </c>
      <c r="Q60" s="51">
        <f t="shared" ca="1" si="13"/>
        <v>82.581660090635651</v>
      </c>
    </row>
    <row r="61" spans="2:17" x14ac:dyDescent="0.2">
      <c r="B61" s="20"/>
    </row>
    <row r="62" spans="2:17" x14ac:dyDescent="0.2">
      <c r="B62" s="20" t="s">
        <v>96</v>
      </c>
      <c r="J62" s="49">
        <f ca="1">-J60*$H$36</f>
        <v>-14.410811585324188</v>
      </c>
      <c r="K62" s="49">
        <f t="shared" ref="K62:Q62" ca="1" si="14">-K60*$H$36</f>
        <v>-15.711794754115184</v>
      </c>
      <c r="L62" s="49">
        <f t="shared" ca="1" si="14"/>
        <v>-17.697305989777689</v>
      </c>
      <c r="M62" s="49">
        <f t="shared" ca="1" si="14"/>
        <v>-19.616090003613678</v>
      </c>
      <c r="N62" s="49">
        <f t="shared" ca="1" si="14"/>
        <v>-21.741599054452919</v>
      </c>
      <c r="O62" s="49">
        <f t="shared" ca="1" si="14"/>
        <v>-23.784392326074304</v>
      </c>
      <c r="P62" s="49">
        <f t="shared" ca="1" si="14"/>
        <v>-26.328145896144136</v>
      </c>
      <c r="Q62" s="49">
        <f t="shared" ca="1" si="14"/>
        <v>-28.903581031722474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 ca="1">J62+J60</f>
        <v>26.762935801316353</v>
      </c>
      <c r="K63" s="51">
        <f t="shared" ref="K63:Q63" ca="1" si="15">K62+K60</f>
        <v>29.179047400499634</v>
      </c>
      <c r="L63" s="51">
        <f t="shared" ca="1" si="15"/>
        <v>32.866425409587137</v>
      </c>
      <c r="M63" s="51">
        <f t="shared" ca="1" si="15"/>
        <v>36.429881435282553</v>
      </c>
      <c r="N63" s="51">
        <f t="shared" ca="1" si="15"/>
        <v>40.377255386841135</v>
      </c>
      <c r="O63" s="51">
        <f t="shared" ca="1" si="15"/>
        <v>44.171014319852283</v>
      </c>
      <c r="P63" s="51">
        <f t="shared" ca="1" si="15"/>
        <v>48.895128092839116</v>
      </c>
      <c r="Q63" s="51">
        <f t="shared" ca="1" si="15"/>
        <v>53.678079058913177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ca="1" si="16">IFERROR(J63/J$47,0)</f>
        <v>7.4527807856631448E-2</v>
      </c>
      <c r="K64" s="59">
        <f t="shared" ca="1" si="16"/>
        <v>7.6656650537506324E-2</v>
      </c>
      <c r="L64" s="59">
        <f t="shared" ca="1" si="16"/>
        <v>8.0695148325532609E-2</v>
      </c>
      <c r="M64" s="59">
        <f t="shared" ca="1" si="16"/>
        <v>8.4381422891450633E-2</v>
      </c>
      <c r="N64" s="59">
        <f t="shared" ca="1" si="16"/>
        <v>8.9071052134203368E-2</v>
      </c>
      <c r="O64" s="59">
        <f t="shared" ca="1" si="16"/>
        <v>9.3692282792779483E-2</v>
      </c>
      <c r="P64" s="59">
        <f t="shared" ca="1" si="16"/>
        <v>9.9723772021335519E-2</v>
      </c>
      <c r="Q64" s="59">
        <f t="shared" ca="1" si="16"/>
        <v>0.10526808811586987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ca="1" si="17">IFERROR(J63/I63-1,0)</f>
        <v>0</v>
      </c>
      <c r="K65" s="57">
        <f t="shared" ca="1" si="17"/>
        <v>9.0278272052068509E-2</v>
      </c>
      <c r="L65" s="57">
        <f t="shared" ca="1" si="17"/>
        <v>0.12637074673741289</v>
      </c>
      <c r="M65" s="57">
        <f t="shared" ca="1" si="17"/>
        <v>0.10842237880411409</v>
      </c>
      <c r="N65" s="57">
        <f t="shared" ca="1" si="17"/>
        <v>0.10835538838003256</v>
      </c>
      <c r="O65" s="57">
        <f t="shared" ca="1" si="17"/>
        <v>9.3957820972832229E-2</v>
      </c>
      <c r="P65" s="57">
        <f t="shared" ca="1" si="17"/>
        <v>0.10695053862196735</v>
      </c>
      <c r="Q65" s="57">
        <f t="shared" ca="1" si="17"/>
        <v>9.7820604069028816E-2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8">O69</f>
        <v>0.04</v>
      </c>
      <c r="Q69" s="61">
        <f t="shared" si="18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9">J70</f>
        <v>0.4</v>
      </c>
      <c r="L70" s="61">
        <f t="shared" si="19"/>
        <v>0.4</v>
      </c>
      <c r="M70" s="61">
        <f t="shared" si="19"/>
        <v>0.4</v>
      </c>
      <c r="N70" s="61">
        <f t="shared" si="19"/>
        <v>0.4</v>
      </c>
      <c r="O70" s="61">
        <f t="shared" si="19"/>
        <v>0.4</v>
      </c>
      <c r="P70" s="61">
        <f t="shared" si="19"/>
        <v>0.4</v>
      </c>
      <c r="Q70" s="61">
        <f t="shared" si="19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9"/>
        <v>0.26315789473684209</v>
      </c>
      <c r="L71" s="62">
        <f t="shared" si="19"/>
        <v>0.26315789473684209</v>
      </c>
      <c r="M71" s="62">
        <f t="shared" si="19"/>
        <v>0.26315789473684209</v>
      </c>
      <c r="N71" s="62">
        <f t="shared" si="19"/>
        <v>0.26315789473684209</v>
      </c>
      <c r="O71" s="62">
        <f t="shared" si="19"/>
        <v>0.26315789473684209</v>
      </c>
      <c r="P71" s="62">
        <f t="shared" si="19"/>
        <v>0.26315789473684209</v>
      </c>
      <c r="Q71" s="62">
        <f t="shared" si="19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9"/>
        <v>4.9707602339181284E-2</v>
      </c>
      <c r="L72" s="62">
        <f t="shared" si="19"/>
        <v>4.9707602339181284E-2</v>
      </c>
      <c r="M72" s="62">
        <f t="shared" si="19"/>
        <v>4.9707602339181284E-2</v>
      </c>
      <c r="N72" s="62">
        <f t="shared" si="19"/>
        <v>4.9707602339181284E-2</v>
      </c>
      <c r="O72" s="62">
        <f t="shared" si="19"/>
        <v>4.9707602339181284E-2</v>
      </c>
      <c r="P72" s="62">
        <f t="shared" si="19"/>
        <v>4.9707602339181284E-2</v>
      </c>
      <c r="Q72" s="62">
        <f t="shared" si="19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9"/>
        <v>4.9707602339181284E-2</v>
      </c>
      <c r="L73" s="76">
        <f t="shared" si="19"/>
        <v>4.9707602339181284E-2</v>
      </c>
      <c r="M73" s="76">
        <f t="shared" si="19"/>
        <v>4.9707602339181284E-2</v>
      </c>
      <c r="N73" s="76">
        <f t="shared" si="19"/>
        <v>4.9707602339181284E-2</v>
      </c>
      <c r="O73" s="76">
        <f t="shared" si="19"/>
        <v>4.9707602339181284E-2</v>
      </c>
      <c r="P73" s="76">
        <f t="shared" si="19"/>
        <v>4.9707602339181284E-2</v>
      </c>
      <c r="Q73" s="76">
        <f t="shared" si="19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>
        <f>I47</f>
        <v>342</v>
      </c>
      <c r="J84" s="82">
        <f t="shared" ref="J84:Q84" si="20">J47</f>
        <v>359.1</v>
      </c>
      <c r="K84" s="82">
        <f t="shared" si="20"/>
        <v>380.64600000000002</v>
      </c>
      <c r="L84" s="82">
        <f t="shared" si="20"/>
        <v>407.29122000000007</v>
      </c>
      <c r="M84" s="82">
        <f t="shared" si="20"/>
        <v>431.72869320000007</v>
      </c>
      <c r="N84" s="82">
        <f t="shared" si="20"/>
        <v>453.31512786000008</v>
      </c>
      <c r="O84" s="82">
        <f t="shared" si="20"/>
        <v>471.44773297440008</v>
      </c>
      <c r="P84" s="82">
        <f t="shared" si="20"/>
        <v>490.30564229337608</v>
      </c>
      <c r="Q84" s="82">
        <f t="shared" si="20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>
        <f>I84*I70</f>
        <v>136.80000000000001</v>
      </c>
      <c r="J85" s="87">
        <f t="shared" ref="J85:Q85" si="21">J84*J70</f>
        <v>143.64000000000001</v>
      </c>
      <c r="K85" s="87">
        <f t="shared" si="21"/>
        <v>152.25840000000002</v>
      </c>
      <c r="L85" s="87">
        <f t="shared" si="21"/>
        <v>162.91648800000004</v>
      </c>
      <c r="M85" s="87">
        <f t="shared" si="21"/>
        <v>172.69147728000004</v>
      </c>
      <c r="N85" s="87">
        <f t="shared" si="21"/>
        <v>181.32605114400005</v>
      </c>
      <c r="O85" s="87">
        <f t="shared" si="21"/>
        <v>188.57909318976004</v>
      </c>
      <c r="P85" s="87">
        <f t="shared" si="21"/>
        <v>196.12225691735046</v>
      </c>
      <c r="Q85" s="87">
        <f t="shared" si="21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I98/I84*F87</f>
        <v>94.73684210526315</v>
      </c>
      <c r="J88" s="92">
        <f>I88</f>
        <v>94.73684210526315</v>
      </c>
      <c r="K88" s="92">
        <f t="shared" ref="K88:Q88" si="22">J88</f>
        <v>94.73684210526315</v>
      </c>
      <c r="L88" s="92">
        <f t="shared" si="22"/>
        <v>94.73684210526315</v>
      </c>
      <c r="M88" s="92">
        <f t="shared" si="22"/>
        <v>94.73684210526315</v>
      </c>
      <c r="N88" s="92">
        <f t="shared" si="22"/>
        <v>94.73684210526315</v>
      </c>
      <c r="O88" s="92">
        <f t="shared" si="22"/>
        <v>94.73684210526315</v>
      </c>
      <c r="P88" s="92">
        <f t="shared" si="22"/>
        <v>94.73684210526315</v>
      </c>
      <c r="Q88" s="92">
        <f t="shared" si="22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I99/I85*F87</f>
        <v>118.42105263157893</v>
      </c>
      <c r="J89" s="93">
        <f t="shared" ref="J89:Q90" si="23">I89</f>
        <v>118.42105263157893</v>
      </c>
      <c r="K89" s="93">
        <f t="shared" si="23"/>
        <v>118.42105263157893</v>
      </c>
      <c r="L89" s="93">
        <f t="shared" si="23"/>
        <v>118.42105263157893</v>
      </c>
      <c r="M89" s="93">
        <f t="shared" si="23"/>
        <v>118.42105263157893</v>
      </c>
      <c r="N89" s="93">
        <f t="shared" si="23"/>
        <v>118.42105263157893</v>
      </c>
      <c r="O89" s="93">
        <f t="shared" si="23"/>
        <v>118.42105263157893</v>
      </c>
      <c r="P89" s="93">
        <f t="shared" si="23"/>
        <v>118.42105263157893</v>
      </c>
      <c r="Q89" s="93">
        <f t="shared" si="23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I103/I85*F87</f>
        <v>115.78947368421052</v>
      </c>
      <c r="J90" s="94">
        <f t="shared" si="23"/>
        <v>115.78947368421052</v>
      </c>
      <c r="K90" s="94">
        <f t="shared" si="23"/>
        <v>115.78947368421052</v>
      </c>
      <c r="L90" s="94">
        <f t="shared" si="23"/>
        <v>115.78947368421052</v>
      </c>
      <c r="M90" s="94">
        <f t="shared" si="23"/>
        <v>115.78947368421052</v>
      </c>
      <c r="N90" s="94">
        <f t="shared" si="23"/>
        <v>115.78947368421052</v>
      </c>
      <c r="O90" s="94">
        <f t="shared" si="23"/>
        <v>115.78947368421052</v>
      </c>
      <c r="P90" s="94">
        <f t="shared" si="23"/>
        <v>115.78947368421052</v>
      </c>
      <c r="Q90" s="94">
        <f t="shared" si="23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 t="shared" ref="J91:Q91" si="24">J88+J89-J90</f>
        <v>97.368421052631561</v>
      </c>
      <c r="K91" s="95">
        <f t="shared" si="24"/>
        <v>97.368421052631561</v>
      </c>
      <c r="L91" s="95">
        <f t="shared" si="24"/>
        <v>97.368421052631561</v>
      </c>
      <c r="M91" s="95">
        <f t="shared" si="24"/>
        <v>97.368421052631561</v>
      </c>
      <c r="N91" s="95">
        <f t="shared" si="24"/>
        <v>97.368421052631561</v>
      </c>
      <c r="O91" s="95">
        <f t="shared" si="24"/>
        <v>97.368421052631561</v>
      </c>
      <c r="P91" s="95">
        <f t="shared" si="24"/>
        <v>97.368421052631561</v>
      </c>
      <c r="Q91" s="95">
        <f t="shared" si="24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25">J93</f>
        <v>2.046783625730994E-2</v>
      </c>
      <c r="L93" s="61">
        <f t="shared" si="25"/>
        <v>2.046783625730994E-2</v>
      </c>
      <c r="M93" s="61">
        <f t="shared" si="25"/>
        <v>2.046783625730994E-2</v>
      </c>
      <c r="N93" s="61">
        <f t="shared" si="25"/>
        <v>2.046783625730994E-2</v>
      </c>
      <c r="O93" s="61">
        <f t="shared" si="25"/>
        <v>2.046783625730994E-2</v>
      </c>
      <c r="P93" s="61">
        <f t="shared" si="25"/>
        <v>2.046783625730994E-2</v>
      </c>
      <c r="Q93" s="61">
        <f t="shared" si="25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 t="shared" ref="J94:Q95" si="26">I94</f>
        <v>0.10818713450292397</v>
      </c>
      <c r="K94" s="62">
        <f t="shared" si="26"/>
        <v>0.10818713450292397</v>
      </c>
      <c r="L94" s="62">
        <f t="shared" si="26"/>
        <v>0.10818713450292397</v>
      </c>
      <c r="M94" s="62">
        <f t="shared" si="26"/>
        <v>0.10818713450292397</v>
      </c>
      <c r="N94" s="62">
        <f t="shared" si="26"/>
        <v>0.10818713450292397</v>
      </c>
      <c r="O94" s="62">
        <f t="shared" si="26"/>
        <v>0.10818713450292397</v>
      </c>
      <c r="P94" s="62">
        <f t="shared" si="26"/>
        <v>0.10818713450292397</v>
      </c>
      <c r="Q94" s="62">
        <f t="shared" si="26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si="26"/>
        <v>8.771929824561403E-3</v>
      </c>
      <c r="K95" s="76">
        <f t="shared" si="26"/>
        <v>8.771929824561403E-3</v>
      </c>
      <c r="L95" s="76">
        <f t="shared" si="26"/>
        <v>8.771929824561403E-3</v>
      </c>
      <c r="M95" s="76">
        <f t="shared" si="26"/>
        <v>8.771929824561403E-3</v>
      </c>
      <c r="N95" s="76">
        <f t="shared" si="26"/>
        <v>8.771929824561403E-3</v>
      </c>
      <c r="O95" s="76">
        <f t="shared" si="26"/>
        <v>8.771929824561403E-3</v>
      </c>
      <c r="P95" s="76">
        <f t="shared" si="26"/>
        <v>8.771929824561403E-3</v>
      </c>
      <c r="Q95" s="76">
        <f t="shared" si="26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9" si="27">K88/$F$87*K84</f>
        <v>100.17</v>
      </c>
      <c r="L98" s="82">
        <f t="shared" si="27"/>
        <v>107.18190000000001</v>
      </c>
      <c r="M98" s="82">
        <f t="shared" si="27"/>
        <v>113.61281400000001</v>
      </c>
      <c r="N98" s="82">
        <f t="shared" si="27"/>
        <v>119.29345470000001</v>
      </c>
      <c r="O98" s="82">
        <f t="shared" si="27"/>
        <v>124.06519288800001</v>
      </c>
      <c r="P98" s="82">
        <f t="shared" si="27"/>
        <v>129.02780060352001</v>
      </c>
      <c r="Q98" s="82">
        <f t="shared" si="27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 t="shared" ref="I99:I100" si="28">H121</f>
        <v>45</v>
      </c>
      <c r="J99" s="72">
        <f>J89/$F$87*J85</f>
        <v>47.25</v>
      </c>
      <c r="K99" s="72">
        <f t="shared" si="27"/>
        <v>50.085000000000001</v>
      </c>
      <c r="L99" s="72">
        <f t="shared" si="27"/>
        <v>53.590950000000007</v>
      </c>
      <c r="M99" s="72">
        <f t="shared" si="27"/>
        <v>56.806407000000007</v>
      </c>
      <c r="N99" s="72">
        <f t="shared" si="27"/>
        <v>59.646727350000006</v>
      </c>
      <c r="O99" s="72">
        <f t="shared" si="27"/>
        <v>62.032596444000006</v>
      </c>
      <c r="P99" s="72">
        <f t="shared" si="27"/>
        <v>64.513900301760017</v>
      </c>
      <c r="Q99" s="72">
        <f t="shared" si="27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 t="shared" si="28"/>
        <v>7</v>
      </c>
      <c r="J100" s="73">
        <f>J93*J84</f>
        <v>7.35</v>
      </c>
      <c r="K100" s="73">
        <f t="shared" ref="K100:Q100" si="29">K93*K84</f>
        <v>7.7909999999999995</v>
      </c>
      <c r="L100" s="73">
        <f t="shared" si="29"/>
        <v>8.3363700000000005</v>
      </c>
      <c r="M100" s="73">
        <f t="shared" si="29"/>
        <v>8.8365522000000016</v>
      </c>
      <c r="N100" s="73">
        <f t="shared" si="29"/>
        <v>9.2783798100000006</v>
      </c>
      <c r="O100" s="73">
        <f t="shared" si="29"/>
        <v>9.6495150024000012</v>
      </c>
      <c r="P100" s="73">
        <f t="shared" si="29"/>
        <v>10.035495602496001</v>
      </c>
      <c r="Q100" s="73">
        <f t="shared" si="29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30">SUM(K98:K100)</f>
        <v>158.04599999999999</v>
      </c>
      <c r="L101" s="51">
        <f t="shared" si="30"/>
        <v>169.10921999999999</v>
      </c>
      <c r="M101" s="51">
        <f t="shared" si="30"/>
        <v>179.25577320000002</v>
      </c>
      <c r="N101" s="51">
        <f t="shared" si="30"/>
        <v>188.21856186000002</v>
      </c>
      <c r="O101" s="51">
        <f t="shared" si="30"/>
        <v>195.74730433440001</v>
      </c>
      <c r="P101" s="51">
        <f t="shared" si="30"/>
        <v>203.57719650777605</v>
      </c>
      <c r="Q101" s="51">
        <f t="shared" si="30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31">K90/$F$87*K85</f>
        <v>48.972000000000001</v>
      </c>
      <c r="L103" s="82">
        <f t="shared" si="31"/>
        <v>52.400040000000011</v>
      </c>
      <c r="M103" s="82">
        <f t="shared" si="31"/>
        <v>55.544042400000009</v>
      </c>
      <c r="N103" s="82">
        <f t="shared" si="31"/>
        <v>58.321244520000015</v>
      </c>
      <c r="O103" s="82">
        <f t="shared" si="31"/>
        <v>60.654094300800011</v>
      </c>
      <c r="P103" s="82">
        <f t="shared" si="31"/>
        <v>63.080258072832017</v>
      </c>
      <c r="Q103" s="82">
        <f t="shared" si="31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32">H131</f>
        <v>37</v>
      </c>
      <c r="J104" s="72">
        <f>J94*J$84</f>
        <v>38.85</v>
      </c>
      <c r="K104" s="72">
        <f t="shared" ref="K104:Q104" si="33">K94*K$84</f>
        <v>41.180999999999997</v>
      </c>
      <c r="L104" s="72">
        <f t="shared" si="33"/>
        <v>44.063670000000002</v>
      </c>
      <c r="M104" s="72">
        <f t="shared" si="33"/>
        <v>46.707490200000002</v>
      </c>
      <c r="N104" s="72">
        <f t="shared" si="33"/>
        <v>49.042864710000003</v>
      </c>
      <c r="O104" s="72">
        <f t="shared" si="33"/>
        <v>51.004579298400003</v>
      </c>
      <c r="P104" s="72">
        <f t="shared" si="33"/>
        <v>53.044762470336003</v>
      </c>
      <c r="Q104" s="72">
        <f t="shared" si="33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32"/>
        <v>3</v>
      </c>
      <c r="J105" s="73">
        <f t="shared" ref="J105:Q105" si="34">J95*J$84</f>
        <v>3.15</v>
      </c>
      <c r="K105" s="73">
        <f t="shared" si="34"/>
        <v>3.339</v>
      </c>
      <c r="L105" s="73">
        <f t="shared" si="34"/>
        <v>3.5727300000000004</v>
      </c>
      <c r="M105" s="73">
        <f t="shared" si="34"/>
        <v>3.7870938000000005</v>
      </c>
      <c r="N105" s="73">
        <f t="shared" si="34"/>
        <v>3.9764484900000006</v>
      </c>
      <c r="O105" s="73">
        <f t="shared" si="34"/>
        <v>4.1355064296000004</v>
      </c>
      <c r="P105" s="73">
        <f t="shared" si="34"/>
        <v>4.3009266867840008</v>
      </c>
      <c r="Q105" s="73">
        <f t="shared" si="34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35">SUM(K103:K105)</f>
        <v>93.49199999999999</v>
      </c>
      <c r="L106" s="51">
        <f t="shared" si="35"/>
        <v>100.03644000000003</v>
      </c>
      <c r="M106" s="51">
        <f t="shared" si="35"/>
        <v>106.03862640000001</v>
      </c>
      <c r="N106" s="51">
        <f t="shared" si="35"/>
        <v>111.34055772000002</v>
      </c>
      <c r="O106" s="51">
        <f t="shared" si="35"/>
        <v>115.79418002880001</v>
      </c>
      <c r="P106" s="51">
        <f t="shared" si="35"/>
        <v>120.42594722995202</v>
      </c>
      <c r="Q106" s="51">
        <f t="shared" si="35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 t="shared" ref="J108:Q108" si="36">J101-J106</f>
        <v>60.899999999999977</v>
      </c>
      <c r="K108" s="51">
        <f t="shared" si="36"/>
        <v>64.554000000000002</v>
      </c>
      <c r="L108" s="51">
        <f t="shared" si="36"/>
        <v>69.072779999999966</v>
      </c>
      <c r="M108" s="51">
        <f t="shared" si="36"/>
        <v>73.217146800000009</v>
      </c>
      <c r="N108" s="51">
        <f t="shared" si="36"/>
        <v>76.878004140000002</v>
      </c>
      <c r="O108" s="51">
        <f t="shared" si="36"/>
        <v>79.953124305599999</v>
      </c>
      <c r="P108" s="51">
        <f t="shared" si="36"/>
        <v>83.151249277824036</v>
      </c>
      <c r="Q108" s="51">
        <f t="shared" si="36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37">J108-K108</f>
        <v>-3.6540000000000248</v>
      </c>
      <c r="L109" s="49">
        <f t="shared" si="37"/>
        <v>-4.518779999999964</v>
      </c>
      <c r="M109" s="49">
        <f t="shared" si="37"/>
        <v>-4.1443668000000429</v>
      </c>
      <c r="N109" s="49">
        <f t="shared" si="37"/>
        <v>-3.6608573399999926</v>
      </c>
      <c r="O109" s="49">
        <f t="shared" si="37"/>
        <v>-3.0751201655999978</v>
      </c>
      <c r="P109" s="49">
        <f t="shared" si="37"/>
        <v>-3.1981249722240364</v>
      </c>
      <c r="Q109" s="49">
        <f t="shared" si="37"/>
        <v>-3.326049971112937</v>
      </c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>
        <f ca="1">J167</f>
        <v>5</v>
      </c>
      <c r="K119" s="82">
        <f t="shared" ref="K119:Q119" ca="1" si="38">K167</f>
        <v>5</v>
      </c>
      <c r="L119" s="82">
        <f t="shared" ca="1" si="38"/>
        <v>5</v>
      </c>
      <c r="M119" s="82">
        <f t="shared" ca="1" si="38"/>
        <v>5</v>
      </c>
      <c r="N119" s="82">
        <f t="shared" ca="1" si="38"/>
        <v>5</v>
      </c>
      <c r="O119" s="82">
        <f t="shared" ca="1" si="38"/>
        <v>5</v>
      </c>
      <c r="P119" s="82">
        <f t="shared" ca="1" si="38"/>
        <v>5</v>
      </c>
      <c r="Q119" s="82">
        <f t="shared" ca="1" si="38"/>
        <v>5</v>
      </c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>
        <f>J98</f>
        <v>94.5</v>
      </c>
      <c r="K120" s="72">
        <f t="shared" ref="K120:Q120" si="39">K98</f>
        <v>100.17</v>
      </c>
      <c r="L120" s="72">
        <f t="shared" si="39"/>
        <v>107.18190000000001</v>
      </c>
      <c r="M120" s="72">
        <f t="shared" si="39"/>
        <v>113.61281400000001</v>
      </c>
      <c r="N120" s="72">
        <f t="shared" si="39"/>
        <v>119.29345470000001</v>
      </c>
      <c r="O120" s="72">
        <f t="shared" si="39"/>
        <v>124.06519288800001</v>
      </c>
      <c r="P120" s="72">
        <f t="shared" si="39"/>
        <v>129.02780060352001</v>
      </c>
      <c r="Q120" s="72">
        <f t="shared" si="39"/>
        <v>134.18891262766081</v>
      </c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 t="shared" ref="I121:I122" si="40">H121</f>
        <v>45</v>
      </c>
      <c r="J121" s="72">
        <f t="shared" ref="J121:Q122" si="41">J99</f>
        <v>47.25</v>
      </c>
      <c r="K121" s="72">
        <f t="shared" si="41"/>
        <v>50.085000000000001</v>
      </c>
      <c r="L121" s="72">
        <f t="shared" si="41"/>
        <v>53.590950000000007</v>
      </c>
      <c r="M121" s="72">
        <f t="shared" si="41"/>
        <v>56.806407000000007</v>
      </c>
      <c r="N121" s="72">
        <f t="shared" si="41"/>
        <v>59.646727350000006</v>
      </c>
      <c r="O121" s="72">
        <f t="shared" si="41"/>
        <v>62.032596444000006</v>
      </c>
      <c r="P121" s="72">
        <f t="shared" si="41"/>
        <v>64.513900301760017</v>
      </c>
      <c r="Q121" s="72">
        <f t="shared" si="41"/>
        <v>67.094456313830406</v>
      </c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2">
        <f t="shared" si="40"/>
        <v>7</v>
      </c>
      <c r="J122" s="73">
        <f t="shared" si="41"/>
        <v>7.35</v>
      </c>
      <c r="K122" s="73">
        <f t="shared" si="41"/>
        <v>7.7909999999999995</v>
      </c>
      <c r="L122" s="73">
        <f t="shared" si="41"/>
        <v>8.3363700000000005</v>
      </c>
      <c r="M122" s="73">
        <f t="shared" si="41"/>
        <v>8.8365522000000016</v>
      </c>
      <c r="N122" s="73">
        <f t="shared" si="41"/>
        <v>9.2783798100000006</v>
      </c>
      <c r="O122" s="73">
        <f t="shared" si="41"/>
        <v>9.6495150024000012</v>
      </c>
      <c r="P122" s="73">
        <f t="shared" si="41"/>
        <v>10.035495602496001</v>
      </c>
      <c r="Q122" s="73">
        <f t="shared" si="41"/>
        <v>10.43691542659584</v>
      </c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>
        <f ca="1">SUM(J119:J122)</f>
        <v>154.1</v>
      </c>
      <c r="K123" s="51">
        <f t="shared" ref="K123:Q123" ca="1" si="42">SUM(K119:K122)</f>
        <v>163.04599999999999</v>
      </c>
      <c r="L123" s="51">
        <f t="shared" ca="1" si="42"/>
        <v>174.10921999999999</v>
      </c>
      <c r="M123" s="51">
        <f t="shared" ca="1" si="42"/>
        <v>184.25577320000002</v>
      </c>
      <c r="N123" s="51">
        <f t="shared" ca="1" si="42"/>
        <v>193.21856186000002</v>
      </c>
      <c r="O123" s="51">
        <f t="shared" ca="1" si="42"/>
        <v>200.74730433440001</v>
      </c>
      <c r="P123" s="51">
        <f t="shared" ca="1" si="42"/>
        <v>208.57719650777605</v>
      </c>
      <c r="Q123" s="51">
        <f t="shared" ca="1" si="42"/>
        <v>216.72028436808708</v>
      </c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>
        <f>I124-J155-J151</f>
        <v>78</v>
      </c>
      <c r="K124" s="72">
        <f t="shared" ref="K124:Q124" si="43">J124-K155-K151</f>
        <v>78</v>
      </c>
      <c r="L124" s="72">
        <f t="shared" si="43"/>
        <v>78</v>
      </c>
      <c r="M124" s="72">
        <f t="shared" si="43"/>
        <v>78</v>
      </c>
      <c r="N124" s="72">
        <f t="shared" si="43"/>
        <v>78</v>
      </c>
      <c r="O124" s="72">
        <f t="shared" si="43"/>
        <v>78</v>
      </c>
      <c r="P124" s="72">
        <f t="shared" si="43"/>
        <v>78</v>
      </c>
      <c r="Q124" s="72">
        <f t="shared" si="43"/>
        <v>78</v>
      </c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>
        <f>I125</f>
        <v>670</v>
      </c>
      <c r="K125" s="72">
        <f t="shared" ref="K125:Q125" si="44">J125</f>
        <v>670</v>
      </c>
      <c r="L125" s="72">
        <f t="shared" si="44"/>
        <v>670</v>
      </c>
      <c r="M125" s="72">
        <f t="shared" si="44"/>
        <v>670</v>
      </c>
      <c r="N125" s="72">
        <f t="shared" si="44"/>
        <v>670</v>
      </c>
      <c r="O125" s="72">
        <f t="shared" si="44"/>
        <v>670</v>
      </c>
      <c r="P125" s="72">
        <f t="shared" si="44"/>
        <v>670</v>
      </c>
      <c r="Q125" s="72">
        <f t="shared" si="44"/>
        <v>670</v>
      </c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>
        <f>I126-J256</f>
        <v>15.452083333333334</v>
      </c>
      <c r="K126" s="73">
        <f t="shared" ref="K126:Q126" si="45">J126-K256</f>
        <v>13.966666666666669</v>
      </c>
      <c r="L126" s="73">
        <f t="shared" si="45"/>
        <v>12.481250000000003</v>
      </c>
      <c r="M126" s="73">
        <f t="shared" si="45"/>
        <v>10.995833333333337</v>
      </c>
      <c r="N126" s="73">
        <f t="shared" si="45"/>
        <v>9.5104166666666714</v>
      </c>
      <c r="O126" s="73">
        <f t="shared" si="45"/>
        <v>8.1250000000000053</v>
      </c>
      <c r="P126" s="73">
        <f t="shared" si="45"/>
        <v>7.3125000000000053</v>
      </c>
      <c r="Q126" s="73">
        <f t="shared" si="45"/>
        <v>6.5000000000000053</v>
      </c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>
        <f ca="1">SUM(J123:J126)</f>
        <v>917.55208333333337</v>
      </c>
      <c r="K127" s="51">
        <f t="shared" ref="K127:Q127" ca="1" si="46">SUM(K123:K126)</f>
        <v>925.01266666666675</v>
      </c>
      <c r="L127" s="51">
        <f t="shared" ca="1" si="46"/>
        <v>934.5904700000001</v>
      </c>
      <c r="M127" s="51">
        <f t="shared" ca="1" si="46"/>
        <v>943.25160653333342</v>
      </c>
      <c r="N127" s="51">
        <f t="shared" ca="1" si="46"/>
        <v>950.72897852666665</v>
      </c>
      <c r="O127" s="51">
        <f t="shared" ca="1" si="46"/>
        <v>956.87230433440004</v>
      </c>
      <c r="P127" s="51">
        <f t="shared" ca="1" si="46"/>
        <v>963.88969650777608</v>
      </c>
      <c r="Q127" s="51">
        <f t="shared" ca="1" si="46"/>
        <v>971.22028436808705</v>
      </c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>
        <f>J103</f>
        <v>46.2</v>
      </c>
      <c r="K130" s="82">
        <f t="shared" ref="K130:Q130" si="47">K103</f>
        <v>48.972000000000001</v>
      </c>
      <c r="L130" s="82">
        <f t="shared" si="47"/>
        <v>52.400040000000011</v>
      </c>
      <c r="M130" s="82">
        <f t="shared" si="47"/>
        <v>55.544042400000009</v>
      </c>
      <c r="N130" s="82">
        <f t="shared" si="47"/>
        <v>58.321244520000015</v>
      </c>
      <c r="O130" s="82">
        <f t="shared" si="47"/>
        <v>60.654094300800011</v>
      </c>
      <c r="P130" s="82">
        <f t="shared" si="47"/>
        <v>63.080258072832017</v>
      </c>
      <c r="Q130" s="82">
        <f t="shared" si="47"/>
        <v>65.603468395745296</v>
      </c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48">H131</f>
        <v>37</v>
      </c>
      <c r="J131" s="72">
        <f t="shared" ref="J131:Q132" si="49">J104</f>
        <v>38.85</v>
      </c>
      <c r="K131" s="72">
        <f t="shared" si="49"/>
        <v>41.180999999999997</v>
      </c>
      <c r="L131" s="72">
        <f t="shared" si="49"/>
        <v>44.063670000000002</v>
      </c>
      <c r="M131" s="72">
        <f t="shared" si="49"/>
        <v>46.707490200000002</v>
      </c>
      <c r="N131" s="72">
        <f t="shared" si="49"/>
        <v>49.042864710000003</v>
      </c>
      <c r="O131" s="72">
        <f t="shared" si="49"/>
        <v>51.004579298400003</v>
      </c>
      <c r="P131" s="72">
        <f t="shared" si="49"/>
        <v>53.044762470336003</v>
      </c>
      <c r="Q131" s="72">
        <f t="shared" si="49"/>
        <v>55.166552969149443</v>
      </c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48"/>
        <v>3</v>
      </c>
      <c r="J132" s="73">
        <f t="shared" si="49"/>
        <v>3.15</v>
      </c>
      <c r="K132" s="73">
        <f t="shared" si="49"/>
        <v>3.339</v>
      </c>
      <c r="L132" s="73">
        <f t="shared" si="49"/>
        <v>3.5727300000000004</v>
      </c>
      <c r="M132" s="73">
        <f t="shared" si="49"/>
        <v>3.7870938000000005</v>
      </c>
      <c r="N132" s="73">
        <f t="shared" si="49"/>
        <v>3.9764484900000006</v>
      </c>
      <c r="O132" s="73">
        <f t="shared" si="49"/>
        <v>4.1355064296000004</v>
      </c>
      <c r="P132" s="73">
        <f t="shared" si="49"/>
        <v>4.3009266867840008</v>
      </c>
      <c r="Q132" s="73">
        <f t="shared" si="49"/>
        <v>4.4729637542553604</v>
      </c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>
        <f>SUM(J130:J132)</f>
        <v>88.200000000000017</v>
      </c>
      <c r="K133" s="51">
        <f t="shared" ref="K133:Q133" si="50">SUM(K130:K132)</f>
        <v>93.49199999999999</v>
      </c>
      <c r="L133" s="51">
        <f t="shared" si="50"/>
        <v>100.03644000000003</v>
      </c>
      <c r="M133" s="51">
        <f t="shared" si="50"/>
        <v>106.03862640000001</v>
      </c>
      <c r="N133" s="51">
        <f t="shared" si="50"/>
        <v>111.34055772000002</v>
      </c>
      <c r="O133" s="51">
        <f t="shared" si="50"/>
        <v>115.79418002880001</v>
      </c>
      <c r="P133" s="51">
        <f t="shared" si="50"/>
        <v>120.42594722995202</v>
      </c>
      <c r="Q133" s="51">
        <f t="shared" si="50"/>
        <v>125.24298511915011</v>
      </c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>
        <f ca="1">J185</f>
        <v>574.65164753201691</v>
      </c>
      <c r="K135" s="82">
        <f t="shared" ref="K135:Q135" ca="1" si="51">K185</f>
        <v>547.64118346485066</v>
      </c>
      <c r="L135" s="82">
        <f t="shared" ca="1" si="51"/>
        <v>517.80812138859687</v>
      </c>
      <c r="M135" s="82">
        <f t="shared" ca="1" si="51"/>
        <v>484.03719008664768</v>
      </c>
      <c r="N135" s="82">
        <f t="shared" ca="1" si="51"/>
        <v>445.83537537313987</v>
      </c>
      <c r="O135" s="82">
        <f t="shared" ca="1" si="51"/>
        <v>403.35406455222085</v>
      </c>
      <c r="P135" s="82">
        <f t="shared" ca="1" si="51"/>
        <v>356.84456143160583</v>
      </c>
      <c r="Q135" s="82">
        <f t="shared" ca="1" si="51"/>
        <v>305.68003234380558</v>
      </c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>
        <f>I136</f>
        <v>7</v>
      </c>
      <c r="K136" s="73">
        <f t="shared" ref="K136:Q136" si="52">J136</f>
        <v>7</v>
      </c>
      <c r="L136" s="73">
        <f t="shared" si="52"/>
        <v>7</v>
      </c>
      <c r="M136" s="73">
        <f t="shared" si="52"/>
        <v>7</v>
      </c>
      <c r="N136" s="73">
        <f t="shared" si="52"/>
        <v>7</v>
      </c>
      <c r="O136" s="73">
        <f t="shared" si="52"/>
        <v>7</v>
      </c>
      <c r="P136" s="73">
        <f t="shared" si="52"/>
        <v>7</v>
      </c>
      <c r="Q136" s="73">
        <f t="shared" si="52"/>
        <v>7</v>
      </c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>
        <f ca="1">SUM(J135:J136,J133)</f>
        <v>669.85164753201695</v>
      </c>
      <c r="K137" s="90">
        <f t="shared" ref="K137:Q137" ca="1" si="53">SUM(K135:K136,K133)</f>
        <v>648.13318346485062</v>
      </c>
      <c r="L137" s="90">
        <f t="shared" ca="1" si="53"/>
        <v>624.84456138859696</v>
      </c>
      <c r="M137" s="90">
        <f t="shared" ca="1" si="53"/>
        <v>597.07581648664768</v>
      </c>
      <c r="N137" s="90">
        <f t="shared" ca="1" si="53"/>
        <v>564.17593309313986</v>
      </c>
      <c r="O137" s="90">
        <f t="shared" ca="1" si="53"/>
        <v>526.14824458102089</v>
      </c>
      <c r="P137" s="90">
        <f t="shared" ca="1" si="53"/>
        <v>484.27050866155787</v>
      </c>
      <c r="Q137" s="90">
        <f t="shared" ca="1" si="53"/>
        <v>437.92301746295567</v>
      </c>
    </row>
    <row r="139" spans="1:24" x14ac:dyDescent="0.2">
      <c r="B139" s="3" t="s">
        <v>112</v>
      </c>
      <c r="H139" s="60">
        <v>160</v>
      </c>
      <c r="I139" s="49">
        <f>SUM(G15:G16)-G24</f>
        <v>220.9375</v>
      </c>
      <c r="J139" s="49">
        <f ca="1">I139+J150</f>
        <v>247.70043580131636</v>
      </c>
      <c r="K139" s="49">
        <f t="shared" ref="K139:Q139" ca="1" si="54">J139+K150</f>
        <v>276.87948320181602</v>
      </c>
      <c r="L139" s="49">
        <f t="shared" ca="1" si="54"/>
        <v>309.74590861140314</v>
      </c>
      <c r="M139" s="49">
        <f t="shared" ca="1" si="54"/>
        <v>346.17579004668568</v>
      </c>
      <c r="N139" s="49">
        <f t="shared" ca="1" si="54"/>
        <v>386.55304543352679</v>
      </c>
      <c r="O139" s="49">
        <f t="shared" ca="1" si="54"/>
        <v>430.72405975337909</v>
      </c>
      <c r="P139" s="49">
        <f t="shared" ca="1" si="54"/>
        <v>479.61918784621821</v>
      </c>
      <c r="Q139" s="49">
        <f t="shared" ca="1" si="54"/>
        <v>533.29726690513144</v>
      </c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>
        <f ca="1">J137+J139</f>
        <v>917.55208333333326</v>
      </c>
      <c r="K140" s="51">
        <f t="shared" ref="K140:Q140" ca="1" si="55">K137+K139</f>
        <v>925.01266666666663</v>
      </c>
      <c r="L140" s="51">
        <f t="shared" ca="1" si="55"/>
        <v>934.5904700000001</v>
      </c>
      <c r="M140" s="51">
        <f t="shared" ca="1" si="55"/>
        <v>943.25160653333342</v>
      </c>
      <c r="N140" s="51">
        <f t="shared" ca="1" si="55"/>
        <v>950.72897852666665</v>
      </c>
      <c r="O140" s="51">
        <f t="shared" ca="1" si="55"/>
        <v>956.87230433440004</v>
      </c>
      <c r="P140" s="51">
        <f t="shared" ca="1" si="55"/>
        <v>963.88969650777608</v>
      </c>
      <c r="Q140" s="51">
        <f t="shared" ca="1" si="55"/>
        <v>971.22028436808705</v>
      </c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ca="1" si="56">ROUND(J140,3) = ROUND(J127,3)</f>
        <v>1</v>
      </c>
      <c r="K141" s="91" t="b">
        <f t="shared" ca="1" si="56"/>
        <v>1</v>
      </c>
      <c r="L141" s="91" t="b">
        <f t="shared" ca="1" si="56"/>
        <v>1</v>
      </c>
      <c r="M141" s="91" t="b">
        <f t="shared" ca="1" si="56"/>
        <v>1</v>
      </c>
      <c r="N141" s="91" t="b">
        <f t="shared" ca="1" si="56"/>
        <v>1</v>
      </c>
      <c r="O141" s="91" t="b">
        <f t="shared" ca="1" si="56"/>
        <v>1</v>
      </c>
      <c r="P141" s="91" t="b">
        <f t="shared" ca="1" si="56"/>
        <v>1</v>
      </c>
      <c r="Q141" s="91" t="b">
        <f t="shared" ca="1" si="56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 ca="1">J63</f>
        <v>26.762935801316353</v>
      </c>
      <c r="K150" s="82">
        <f t="shared" ref="K150:Q150" ca="1" si="57">K63</f>
        <v>29.179047400499634</v>
      </c>
      <c r="L150" s="82">
        <f t="shared" ca="1" si="57"/>
        <v>32.866425409587137</v>
      </c>
      <c r="M150" s="82">
        <f t="shared" ca="1" si="57"/>
        <v>36.429881435282553</v>
      </c>
      <c r="N150" s="82">
        <f t="shared" ca="1" si="57"/>
        <v>40.377255386841135</v>
      </c>
      <c r="O150" s="82">
        <f t="shared" ca="1" si="57"/>
        <v>44.171014319852283</v>
      </c>
      <c r="P150" s="82">
        <f t="shared" ca="1" si="57"/>
        <v>48.895128092839116</v>
      </c>
      <c r="Q150" s="82">
        <f t="shared" ca="1" si="57"/>
        <v>53.678079058913177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58">-K54</f>
        <v>18.920999999999999</v>
      </c>
      <c r="L151" s="72">
        <f t="shared" si="58"/>
        <v>20.245470000000001</v>
      </c>
      <c r="M151" s="72">
        <f t="shared" si="58"/>
        <v>21.460198200000001</v>
      </c>
      <c r="N151" s="72">
        <f t="shared" si="58"/>
        <v>22.533208110000004</v>
      </c>
      <c r="O151" s="72">
        <f t="shared" si="58"/>
        <v>23.434536434400002</v>
      </c>
      <c r="P151" s="72">
        <f t="shared" si="58"/>
        <v>24.371917891776004</v>
      </c>
      <c r="Q151" s="72">
        <f t="shared" si="58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>
        <f ca="1">J268</f>
        <v>10.362701261966929</v>
      </c>
      <c r="K152" s="72">
        <f t="shared" ref="K152:Q152" ca="1" si="59">K268</f>
        <v>11.150763079826483</v>
      </c>
      <c r="L152" s="72">
        <f t="shared" ca="1" si="59"/>
        <v>12.008783388044325</v>
      </c>
      <c r="M152" s="72">
        <f t="shared" si="59"/>
        <v>1.4854166666666666</v>
      </c>
      <c r="N152" s="72">
        <f t="shared" si="59"/>
        <v>1.4854166666666666</v>
      </c>
      <c r="O152" s="72">
        <f t="shared" si="59"/>
        <v>1.3854166666666665</v>
      </c>
      <c r="P152" s="72">
        <f t="shared" si="59"/>
        <v>0.81250000000000044</v>
      </c>
      <c r="Q152" s="72">
        <f t="shared" si="59"/>
        <v>0.8125</v>
      </c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60">K109</f>
        <v>-3.6540000000000248</v>
      </c>
      <c r="L153" s="73">
        <f t="shared" si="60"/>
        <v>-4.518779999999964</v>
      </c>
      <c r="M153" s="73">
        <f t="shared" si="60"/>
        <v>-4.1443668000000429</v>
      </c>
      <c r="N153" s="73">
        <f t="shared" si="60"/>
        <v>-3.6608573399999926</v>
      </c>
      <c r="O153" s="73">
        <f t="shared" si="60"/>
        <v>-3.0751201655999978</v>
      </c>
      <c r="P153" s="73">
        <f t="shared" si="60"/>
        <v>-3.1981249722240364</v>
      </c>
      <c r="Q153" s="73">
        <f t="shared" si="60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 ca="1">SUM(J150:J153)</f>
        <v>52.07563706328331</v>
      </c>
      <c r="K154" s="51">
        <f t="shared" ref="K154:Q154" ca="1" si="61">SUM(K150:K153)</f>
        <v>55.596810480326091</v>
      </c>
      <c r="L154" s="51">
        <f t="shared" ca="1" si="61"/>
        <v>60.601898797631492</v>
      </c>
      <c r="M154" s="51">
        <f t="shared" ca="1" si="61"/>
        <v>55.231129501949177</v>
      </c>
      <c r="N154" s="51">
        <f t="shared" ca="1" si="61"/>
        <v>60.735022823507819</v>
      </c>
      <c r="O154" s="51">
        <f t="shared" ca="1" si="61"/>
        <v>65.915847255318951</v>
      </c>
      <c r="P154" s="51">
        <f t="shared" ca="1" si="61"/>
        <v>70.881421012391087</v>
      </c>
      <c r="Q154" s="51">
        <f t="shared" ca="1" si="61"/>
        <v>76.511323695247285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62">-K73*K47</f>
        <v>-18.920999999999999</v>
      </c>
      <c r="L155" s="50">
        <f t="shared" si="62"/>
        <v>-20.245470000000001</v>
      </c>
      <c r="M155" s="50">
        <f t="shared" si="62"/>
        <v>-21.460198200000001</v>
      </c>
      <c r="N155" s="50">
        <f t="shared" si="62"/>
        <v>-22.533208110000004</v>
      </c>
      <c r="O155" s="50">
        <f t="shared" si="62"/>
        <v>-23.434536434400002</v>
      </c>
      <c r="P155" s="50">
        <f t="shared" si="62"/>
        <v>-24.371917891776004</v>
      </c>
      <c r="Q155" s="50">
        <f t="shared" si="62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 ca="1">SUM(J154:J155)</f>
        <v>34.225637063283308</v>
      </c>
      <c r="K156" s="51">
        <f t="shared" ref="K156:Q156" ca="1" si="63">SUM(K154:K155)</f>
        <v>36.675810480326092</v>
      </c>
      <c r="L156" s="51">
        <f t="shared" ca="1" si="63"/>
        <v>40.356428797631494</v>
      </c>
      <c r="M156" s="51">
        <f t="shared" ca="1" si="63"/>
        <v>33.770931301949176</v>
      </c>
      <c r="N156" s="51">
        <f t="shared" ca="1" si="63"/>
        <v>38.201814713507815</v>
      </c>
      <c r="O156" s="51">
        <f t="shared" ca="1" si="63"/>
        <v>42.481310820918949</v>
      </c>
      <c r="P156" s="51">
        <f t="shared" ca="1" si="63"/>
        <v>46.509503120615079</v>
      </c>
      <c r="Q156" s="51">
        <f t="shared" ca="1" si="63"/>
        <v>51.164529087800247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ca="1" si="64">J167</f>
        <v>5</v>
      </c>
      <c r="L158" s="82">
        <f t="shared" ca="1" si="64"/>
        <v>5</v>
      </c>
      <c r="M158" s="82">
        <f t="shared" ca="1" si="64"/>
        <v>5</v>
      </c>
      <c r="N158" s="82">
        <f t="shared" ca="1" si="64"/>
        <v>5</v>
      </c>
      <c r="O158" s="82">
        <f t="shared" ca="1" si="64"/>
        <v>5</v>
      </c>
      <c r="P158" s="82">
        <f t="shared" ca="1" si="64"/>
        <v>5</v>
      </c>
      <c r="Q158" s="82">
        <f t="shared" ca="1" si="64"/>
        <v>5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 ca="1">J156</f>
        <v>34.225637063283308</v>
      </c>
      <c r="K159" s="72">
        <f t="shared" ref="K159:Q159" ca="1" si="65">K156</f>
        <v>36.675810480326092</v>
      </c>
      <c r="L159" s="72">
        <f t="shared" ca="1" si="65"/>
        <v>40.356428797631494</v>
      </c>
      <c r="M159" s="72">
        <f t="shared" ca="1" si="65"/>
        <v>33.770931301949176</v>
      </c>
      <c r="N159" s="72">
        <f t="shared" ca="1" si="65"/>
        <v>38.201814713507815</v>
      </c>
      <c r="O159" s="72">
        <f t="shared" ca="1" si="65"/>
        <v>42.481310820918949</v>
      </c>
      <c r="P159" s="72">
        <f t="shared" ca="1" si="65"/>
        <v>46.509503120615079</v>
      </c>
      <c r="Q159" s="72">
        <f t="shared" ca="1" si="65"/>
        <v>51.164529087800247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66">-$H$32</f>
        <v>-5</v>
      </c>
      <c r="L160" s="73">
        <f t="shared" si="66"/>
        <v>-5</v>
      </c>
      <c r="M160" s="73">
        <f t="shared" si="66"/>
        <v>-5</v>
      </c>
      <c r="N160" s="73">
        <f t="shared" si="66"/>
        <v>-5</v>
      </c>
      <c r="O160" s="73">
        <f t="shared" si="66"/>
        <v>-5</v>
      </c>
      <c r="P160" s="73">
        <f t="shared" si="66"/>
        <v>-5</v>
      </c>
      <c r="Q160" s="73">
        <f t="shared" si="66"/>
        <v>-5</v>
      </c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 ca="1">SUM(J158:J160)</f>
        <v>34.225637063283308</v>
      </c>
      <c r="K161" s="51">
        <f t="shared" ref="K161:Q161" ca="1" si="67">SUM(K158:K160)</f>
        <v>36.675810480326092</v>
      </c>
      <c r="L161" s="51">
        <f t="shared" ca="1" si="67"/>
        <v>40.356428797631494</v>
      </c>
      <c r="M161" s="51">
        <f t="shared" ca="1" si="67"/>
        <v>33.770931301949176</v>
      </c>
      <c r="N161" s="51">
        <f t="shared" ca="1" si="67"/>
        <v>38.201814713507815</v>
      </c>
      <c r="O161" s="51">
        <f t="shared" ca="1" si="67"/>
        <v>42.481310820918949</v>
      </c>
      <c r="P161" s="51">
        <f t="shared" ca="1" si="67"/>
        <v>46.509503120615079</v>
      </c>
      <c r="Q161" s="51">
        <f t="shared" ca="1" si="67"/>
        <v>51.164529087800247</v>
      </c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>
        <f>J204</f>
        <v>-2.75</v>
      </c>
      <c r="K163" s="82">
        <f t="shared" ref="K163:Q163" ca="1" si="68">K204</f>
        <v>-2.75</v>
      </c>
      <c r="L163" s="82">
        <f t="shared" ca="1" si="68"/>
        <v>-2.75</v>
      </c>
      <c r="M163" s="82">
        <f t="shared" ca="1" si="68"/>
        <v>-2.75</v>
      </c>
      <c r="N163" s="82">
        <f t="shared" ca="1" si="68"/>
        <v>-2.75</v>
      </c>
      <c r="O163" s="82">
        <f t="shared" ca="1" si="68"/>
        <v>-2.75</v>
      </c>
      <c r="P163" s="82">
        <f t="shared" ca="1" si="68"/>
        <v>-2.75</v>
      </c>
      <c r="Q163" s="82">
        <f t="shared" ca="1" si="68"/>
        <v>-2.75</v>
      </c>
    </row>
    <row r="164" spans="1:24" x14ac:dyDescent="0.2">
      <c r="B164" s="20" t="s">
        <v>136</v>
      </c>
      <c r="J164" s="50">
        <f ca="1">J213</f>
        <v>-31.475637063283308</v>
      </c>
      <c r="K164" s="50">
        <f t="shared" ref="K164:Q164" ca="1" si="69">K213</f>
        <v>-33.925810480326092</v>
      </c>
      <c r="L164" s="50">
        <f t="shared" ca="1" si="69"/>
        <v>-37.606428797631494</v>
      </c>
      <c r="M164" s="50">
        <f t="shared" ca="1" si="69"/>
        <v>-31.020931301949176</v>
      </c>
      <c r="N164" s="50">
        <f t="shared" ca="1" si="69"/>
        <v>-35.451814713507815</v>
      </c>
      <c r="O164" s="50">
        <f t="shared" ca="1" si="69"/>
        <v>-39.731310820918949</v>
      </c>
      <c r="P164" s="50">
        <f t="shared" ca="1" si="69"/>
        <v>-43.759503120615079</v>
      </c>
      <c r="Q164" s="50">
        <f t="shared" ca="1" si="69"/>
        <v>-48.414529087800247</v>
      </c>
    </row>
    <row r="165" spans="1:24" x14ac:dyDescent="0.2">
      <c r="B165" s="20"/>
    </row>
    <row r="166" spans="1:24" x14ac:dyDescent="0.2">
      <c r="B166" s="20" t="s">
        <v>143</v>
      </c>
      <c r="J166" s="49">
        <f>-J160</f>
        <v>5</v>
      </c>
      <c r="K166" s="49">
        <f t="shared" ref="K166:Q166" si="70">-K160</f>
        <v>5</v>
      </c>
      <c r="L166" s="49">
        <f t="shared" si="70"/>
        <v>5</v>
      </c>
      <c r="M166" s="49">
        <f t="shared" si="70"/>
        <v>5</v>
      </c>
      <c r="N166" s="49">
        <f t="shared" si="70"/>
        <v>5</v>
      </c>
      <c r="O166" s="49">
        <f t="shared" si="70"/>
        <v>5</v>
      </c>
      <c r="P166" s="49">
        <f t="shared" si="70"/>
        <v>5</v>
      </c>
      <c r="Q166" s="49">
        <f t="shared" si="70"/>
        <v>5</v>
      </c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 ca="1">SUM(J166,J163:J164,J161)</f>
        <v>5</v>
      </c>
      <c r="K167" s="51">
        <f t="shared" ref="K167:Q167" ca="1" si="71">SUM(K166,K163:K164,K161)</f>
        <v>5</v>
      </c>
      <c r="L167" s="51">
        <f t="shared" ca="1" si="71"/>
        <v>5</v>
      </c>
      <c r="M167" s="51">
        <f t="shared" ca="1" si="71"/>
        <v>5</v>
      </c>
      <c r="N167" s="51">
        <f t="shared" ca="1" si="71"/>
        <v>5</v>
      </c>
      <c r="O167" s="51">
        <f t="shared" ca="1" si="71"/>
        <v>5</v>
      </c>
      <c r="P167" s="51">
        <f t="shared" ca="1" si="71"/>
        <v>5</v>
      </c>
      <c r="Q167" s="51">
        <f t="shared" ca="1" si="71"/>
        <v>5</v>
      </c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 ca="1">IF($H$38=1,AVERAGE(J158,J167),J158)</f>
        <v>5</v>
      </c>
      <c r="K170" s="82">
        <f t="shared" ref="K170:Q170" ca="1" si="72">IF($H$38=1,AVERAGE(K158,K167),K158)</f>
        <v>5</v>
      </c>
      <c r="L170" s="82">
        <f t="shared" ca="1" si="72"/>
        <v>5</v>
      </c>
      <c r="M170" s="82">
        <f t="shared" ca="1" si="72"/>
        <v>5</v>
      </c>
      <c r="N170" s="82">
        <f t="shared" ca="1" si="72"/>
        <v>5</v>
      </c>
      <c r="O170" s="82">
        <f t="shared" ca="1" si="72"/>
        <v>5</v>
      </c>
      <c r="P170" s="82">
        <f t="shared" ca="1" si="72"/>
        <v>5</v>
      </c>
      <c r="Q170" s="82">
        <f t="shared" ca="1" si="72"/>
        <v>5</v>
      </c>
    </row>
    <row r="171" spans="1:24" x14ac:dyDescent="0.2">
      <c r="B171" s="20" t="s">
        <v>145</v>
      </c>
      <c r="G171" s="99">
        <f>H35</f>
        <v>2.5000000000000001E-3</v>
      </c>
      <c r="J171" s="50">
        <f ca="1">$G171*J170</f>
        <v>1.2500000000000001E-2</v>
      </c>
      <c r="K171" s="50">
        <f t="shared" ref="K171:Q171" ca="1" si="73">$G171*K170</f>
        <v>1.2500000000000001E-2</v>
      </c>
      <c r="L171" s="50">
        <f t="shared" ca="1" si="73"/>
        <v>1.2500000000000001E-2</v>
      </c>
      <c r="M171" s="50">
        <f t="shared" ca="1" si="73"/>
        <v>1.2500000000000001E-2</v>
      </c>
      <c r="N171" s="50">
        <f t="shared" ca="1" si="73"/>
        <v>1.2500000000000001E-2</v>
      </c>
      <c r="O171" s="50">
        <f t="shared" ca="1" si="73"/>
        <v>1.2500000000000001E-2</v>
      </c>
      <c r="P171" s="50">
        <f t="shared" ca="1" si="73"/>
        <v>1.2500000000000001E-2</v>
      </c>
      <c r="Q171" s="50">
        <f t="shared" ca="1" si="73"/>
        <v>1.2500000000000001E-2</v>
      </c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74">J$116</f>
        <v>43100</v>
      </c>
      <c r="K177" s="54">
        <f t="shared" si="74"/>
        <v>43465</v>
      </c>
      <c r="L177" s="54">
        <f t="shared" si="74"/>
        <v>43830</v>
      </c>
      <c r="M177" s="54">
        <f t="shared" si="74"/>
        <v>44196</v>
      </c>
      <c r="N177" s="54">
        <f t="shared" si="74"/>
        <v>44561</v>
      </c>
      <c r="O177" s="54">
        <f t="shared" si="74"/>
        <v>44926</v>
      </c>
      <c r="P177" s="54">
        <f t="shared" si="74"/>
        <v>45291</v>
      </c>
      <c r="Q177" s="54">
        <f t="shared" si="74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>
        <f>G11</f>
        <v>0</v>
      </c>
      <c r="J181" s="82">
        <f ca="1">MAX(0,I181+J200+J209)</f>
        <v>0</v>
      </c>
      <c r="K181" s="82">
        <f t="shared" ref="K181:Q181" ca="1" si="75">MAX(0,J181+K200+K209)</f>
        <v>0</v>
      </c>
      <c r="L181" s="82">
        <f t="shared" ca="1" si="75"/>
        <v>0</v>
      </c>
      <c r="M181" s="82">
        <f t="shared" ca="1" si="75"/>
        <v>0</v>
      </c>
      <c r="N181" s="82">
        <f t="shared" ca="1" si="75"/>
        <v>0</v>
      </c>
      <c r="O181" s="82">
        <f t="shared" ca="1" si="75"/>
        <v>0</v>
      </c>
      <c r="P181" s="82">
        <f t="shared" ca="1" si="75"/>
        <v>0</v>
      </c>
      <c r="Q181" s="82">
        <f t="shared" ca="1" si="75"/>
        <v>0</v>
      </c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>
        <f t="shared" ref="I182:I184" si="76">G12</f>
        <v>275</v>
      </c>
      <c r="J182" s="72">
        <f t="shared" ref="J182:Q182" ca="1" si="77">MAX(0,I182+J201+J210)</f>
        <v>240.7743629367167</v>
      </c>
      <c r="K182" s="72">
        <f t="shared" ca="1" si="77"/>
        <v>204.09855245639062</v>
      </c>
      <c r="L182" s="72">
        <f t="shared" ca="1" si="77"/>
        <v>163.74212365875911</v>
      </c>
      <c r="M182" s="72">
        <f t="shared" ca="1" si="77"/>
        <v>129.97119235680992</v>
      </c>
      <c r="N182" s="72">
        <f t="shared" ca="1" si="77"/>
        <v>91.769377643302107</v>
      </c>
      <c r="O182" s="72">
        <f t="shared" ca="1" si="77"/>
        <v>49.288066822383158</v>
      </c>
      <c r="P182" s="72">
        <f t="shared" ca="1" si="77"/>
        <v>2.7785637017680784</v>
      </c>
      <c r="Q182" s="72">
        <f t="shared" ca="1" si="77"/>
        <v>0</v>
      </c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>
        <f t="shared" si="76"/>
        <v>225</v>
      </c>
      <c r="J183" s="72">
        <f ca="1">MAX(0,I183+J202+J211+J247)</f>
        <v>225</v>
      </c>
      <c r="K183" s="72">
        <f t="shared" ref="K183:Q183" ca="1" si="78">MAX(0,J183+K202+K211+K247)</f>
        <v>225</v>
      </c>
      <c r="L183" s="72">
        <f t="shared" ca="1" si="78"/>
        <v>225</v>
      </c>
      <c r="M183" s="72">
        <f t="shared" ca="1" si="78"/>
        <v>225</v>
      </c>
      <c r="N183" s="72">
        <f t="shared" ca="1" si="78"/>
        <v>225</v>
      </c>
      <c r="O183" s="72">
        <f t="shared" ca="1" si="78"/>
        <v>225</v>
      </c>
      <c r="P183" s="72">
        <f t="shared" ca="1" si="78"/>
        <v>225</v>
      </c>
      <c r="Q183" s="72">
        <f t="shared" ca="1" si="78"/>
        <v>176.61403461396782</v>
      </c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>
        <f t="shared" si="76"/>
        <v>100</v>
      </c>
      <c r="J184" s="73">
        <f t="shared" ref="J184:Q184" ca="1" si="79">MAX(0,I184+J203+J212+J248)</f>
        <v>108.87728459530027</v>
      </c>
      <c r="K184" s="73">
        <f t="shared" ca="1" si="79"/>
        <v>118.54263100846008</v>
      </c>
      <c r="L184" s="73">
        <f t="shared" ca="1" si="79"/>
        <v>129.06599772983773</v>
      </c>
      <c r="M184" s="73">
        <f t="shared" ca="1" si="79"/>
        <v>129.06599772983773</v>
      </c>
      <c r="N184" s="73">
        <f t="shared" ca="1" si="79"/>
        <v>129.06599772983773</v>
      </c>
      <c r="O184" s="73">
        <f t="shared" ca="1" si="79"/>
        <v>129.06599772983773</v>
      </c>
      <c r="P184" s="73">
        <f t="shared" ca="1" si="79"/>
        <v>129.06599772983773</v>
      </c>
      <c r="Q184" s="73">
        <f t="shared" ca="1" si="79"/>
        <v>129.06599772983773</v>
      </c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>
        <f>SUM(I181:I184)</f>
        <v>600</v>
      </c>
      <c r="J185" s="51">
        <f t="shared" ref="J185:Q185" ca="1" si="80">SUM(J181:J184)</f>
        <v>574.65164753201691</v>
      </c>
      <c r="K185" s="51">
        <f t="shared" ca="1" si="80"/>
        <v>547.64118346485066</v>
      </c>
      <c r="L185" s="51">
        <f t="shared" ca="1" si="80"/>
        <v>517.80812138859687</v>
      </c>
      <c r="M185" s="51">
        <f t="shared" ca="1" si="80"/>
        <v>484.03719008664768</v>
      </c>
      <c r="N185" s="51">
        <f t="shared" ca="1" si="80"/>
        <v>445.83537537313987</v>
      </c>
      <c r="O185" s="51">
        <f t="shared" ca="1" si="80"/>
        <v>403.35406455222085</v>
      </c>
      <c r="P185" s="51">
        <f t="shared" ca="1" si="80"/>
        <v>356.84456143160583</v>
      </c>
      <c r="Q185" s="51">
        <f t="shared" ca="1" si="80"/>
        <v>305.68003234380558</v>
      </c>
    </row>
    <row r="186" spans="2:17" x14ac:dyDescent="0.2">
      <c r="C186" s="8" t="s">
        <v>168</v>
      </c>
      <c r="J186" s="57">
        <f ca="1">IFERROR(J185/$I185,0)</f>
        <v>0.9577527458866949</v>
      </c>
      <c r="K186" s="57">
        <f t="shared" ref="K186:Q186" ca="1" si="81">IFERROR(K185/$I185,0)</f>
        <v>0.91273530577475104</v>
      </c>
      <c r="L186" s="57">
        <f t="shared" ca="1" si="81"/>
        <v>0.86301353564766148</v>
      </c>
      <c r="M186" s="57">
        <f t="shared" ca="1" si="81"/>
        <v>0.80672865014441275</v>
      </c>
      <c r="N186" s="57">
        <f t="shared" ca="1" si="81"/>
        <v>0.74305895895523311</v>
      </c>
      <c r="O186" s="57">
        <f t="shared" ca="1" si="81"/>
        <v>0.67225677425370145</v>
      </c>
      <c r="P186" s="57">
        <f t="shared" ca="1" si="81"/>
        <v>0.59474093571934306</v>
      </c>
      <c r="Q186" s="57">
        <f t="shared" ca="1" si="81"/>
        <v>0.50946672057300935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>
        <f>MAX(0,$G189-I181)</f>
        <v>100</v>
      </c>
      <c r="J189" s="101">
        <f t="shared" ref="J189:Q189" ca="1" si="82">MAX(0,$G189-J181)</f>
        <v>100</v>
      </c>
      <c r="K189" s="101">
        <f t="shared" ca="1" si="82"/>
        <v>100</v>
      </c>
      <c r="L189" s="101">
        <f t="shared" ca="1" si="82"/>
        <v>100</v>
      </c>
      <c r="M189" s="101">
        <f t="shared" ca="1" si="82"/>
        <v>100</v>
      </c>
      <c r="N189" s="101">
        <f t="shared" ca="1" si="82"/>
        <v>100</v>
      </c>
      <c r="O189" s="101">
        <f t="shared" ca="1" si="82"/>
        <v>100</v>
      </c>
      <c r="P189" s="101">
        <f t="shared" ca="1" si="82"/>
        <v>100</v>
      </c>
      <c r="Q189" s="101">
        <f t="shared" ca="1" si="82"/>
        <v>100</v>
      </c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>
        <f ca="1">J161</f>
        <v>34.225637063283308</v>
      </c>
      <c r="K191" s="102">
        <f t="shared" ref="K191:Q191" ca="1" si="83">K161</f>
        <v>36.675810480326092</v>
      </c>
      <c r="L191" s="102">
        <f t="shared" ca="1" si="83"/>
        <v>40.356428797631494</v>
      </c>
      <c r="M191" s="102">
        <f t="shared" ca="1" si="83"/>
        <v>33.770931301949176</v>
      </c>
      <c r="N191" s="102">
        <f t="shared" ca="1" si="83"/>
        <v>38.201814713507815</v>
      </c>
      <c r="O191" s="102">
        <f t="shared" ca="1" si="83"/>
        <v>42.481310820918949</v>
      </c>
      <c r="P191" s="102">
        <f t="shared" ca="1" si="83"/>
        <v>46.509503120615079</v>
      </c>
      <c r="Q191" s="102">
        <f t="shared" ca="1" si="83"/>
        <v>51.164529087800247</v>
      </c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84">K194</f>
        <v>0</v>
      </c>
      <c r="M194" s="61">
        <f t="shared" si="84"/>
        <v>0</v>
      </c>
      <c r="N194" s="61">
        <f t="shared" si="84"/>
        <v>0</v>
      </c>
      <c r="O194" s="61">
        <f t="shared" si="84"/>
        <v>0</v>
      </c>
      <c r="P194" s="61">
        <f t="shared" si="84"/>
        <v>0</v>
      </c>
      <c r="Q194" s="61">
        <f t="shared" si="84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85">J195</f>
        <v>0.01</v>
      </c>
      <c r="L195" s="62">
        <f t="shared" si="85"/>
        <v>0.01</v>
      </c>
      <c r="M195" s="62">
        <f t="shared" si="85"/>
        <v>0.01</v>
      </c>
      <c r="N195" s="62">
        <f t="shared" si="85"/>
        <v>0.01</v>
      </c>
      <c r="O195" s="62">
        <f t="shared" si="85"/>
        <v>0.01</v>
      </c>
      <c r="P195" s="62">
        <f t="shared" si="85"/>
        <v>0.01</v>
      </c>
      <c r="Q195" s="62">
        <f t="shared" si="85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85"/>
        <v>0</v>
      </c>
      <c r="L196" s="62">
        <f t="shared" si="85"/>
        <v>0</v>
      </c>
      <c r="M196" s="62">
        <f t="shared" si="85"/>
        <v>0</v>
      </c>
      <c r="N196" s="62">
        <f t="shared" si="85"/>
        <v>0</v>
      </c>
      <c r="O196" s="62">
        <f t="shared" si="85"/>
        <v>0</v>
      </c>
      <c r="P196" s="62">
        <f t="shared" si="85"/>
        <v>0</v>
      </c>
      <c r="Q196" s="62">
        <f t="shared" si="85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85"/>
        <v>0</v>
      </c>
      <c r="L197" s="76">
        <f t="shared" si="85"/>
        <v>0</v>
      </c>
      <c r="M197" s="76">
        <f t="shared" si="85"/>
        <v>0</v>
      </c>
      <c r="N197" s="76">
        <f t="shared" si="85"/>
        <v>0</v>
      </c>
      <c r="O197" s="76">
        <f t="shared" si="85"/>
        <v>0</v>
      </c>
      <c r="P197" s="76">
        <f t="shared" si="85"/>
        <v>0</v>
      </c>
      <c r="Q197" s="76">
        <f t="shared" si="85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>
        <f>-MAX(0,MIN(J194*$I181,I181))</f>
        <v>0</v>
      </c>
      <c r="K200" s="82">
        <f t="shared" ref="K200:Q200" ca="1" si="86">-MAX(0,MIN(K194*$I181,J181))</f>
        <v>0</v>
      </c>
      <c r="L200" s="82">
        <f t="shared" ca="1" si="86"/>
        <v>0</v>
      </c>
      <c r="M200" s="82">
        <f t="shared" ca="1" si="86"/>
        <v>0</v>
      </c>
      <c r="N200" s="82">
        <f t="shared" ca="1" si="86"/>
        <v>0</v>
      </c>
      <c r="O200" s="82">
        <f t="shared" ca="1" si="86"/>
        <v>0</v>
      </c>
      <c r="P200" s="82">
        <f t="shared" ca="1" si="86"/>
        <v>0</v>
      </c>
      <c r="Q200" s="82">
        <f t="shared" ca="1" si="86"/>
        <v>0</v>
      </c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>
        <f t="shared" ref="J201:Q203" si="87">-MAX(0,MIN(J195*$I182,I182))</f>
        <v>-2.75</v>
      </c>
      <c r="K201" s="72">
        <f t="shared" ca="1" si="87"/>
        <v>-2.75</v>
      </c>
      <c r="L201" s="72">
        <f t="shared" ca="1" si="87"/>
        <v>-2.75</v>
      </c>
      <c r="M201" s="72">
        <f t="shared" ca="1" si="87"/>
        <v>-2.75</v>
      </c>
      <c r="N201" s="72">
        <f t="shared" ca="1" si="87"/>
        <v>-2.75</v>
      </c>
      <c r="O201" s="72">
        <f t="shared" ca="1" si="87"/>
        <v>-2.75</v>
      </c>
      <c r="P201" s="72">
        <f t="shared" ca="1" si="87"/>
        <v>-2.75</v>
      </c>
      <c r="Q201" s="72">
        <f t="shared" ca="1" si="87"/>
        <v>-2.75</v>
      </c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>
        <f t="shared" si="87"/>
        <v>0</v>
      </c>
      <c r="K202" s="72">
        <f t="shared" ca="1" si="87"/>
        <v>0</v>
      </c>
      <c r="L202" s="72">
        <f t="shared" ca="1" si="87"/>
        <v>0</v>
      </c>
      <c r="M202" s="72">
        <f t="shared" ca="1" si="87"/>
        <v>0</v>
      </c>
      <c r="N202" s="72">
        <f t="shared" ca="1" si="87"/>
        <v>0</v>
      </c>
      <c r="O202" s="72">
        <f t="shared" ca="1" si="87"/>
        <v>0</v>
      </c>
      <c r="P202" s="72">
        <f t="shared" ca="1" si="87"/>
        <v>0</v>
      </c>
      <c r="Q202" s="72">
        <f t="shared" ca="1" si="87"/>
        <v>0</v>
      </c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>
        <f t="shared" si="87"/>
        <v>0</v>
      </c>
      <c r="K203" s="73">
        <f t="shared" ca="1" si="87"/>
        <v>0</v>
      </c>
      <c r="L203" s="73">
        <f t="shared" ca="1" si="87"/>
        <v>0</v>
      </c>
      <c r="M203" s="73">
        <f t="shared" ca="1" si="87"/>
        <v>0</v>
      </c>
      <c r="N203" s="73">
        <f t="shared" ca="1" si="87"/>
        <v>0</v>
      </c>
      <c r="O203" s="73">
        <f t="shared" ca="1" si="87"/>
        <v>0</v>
      </c>
      <c r="P203" s="73">
        <f t="shared" ca="1" si="87"/>
        <v>0</v>
      </c>
      <c r="Q203" s="73">
        <f t="shared" ca="1" si="87"/>
        <v>0</v>
      </c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>
        <f>SUM(J200:J203)</f>
        <v>-2.75</v>
      </c>
      <c r="K204" s="51">
        <f t="shared" ref="K204:Q204" ca="1" si="88">SUM(K200:K203)</f>
        <v>-2.75</v>
      </c>
      <c r="L204" s="51">
        <f t="shared" ca="1" si="88"/>
        <v>-2.75</v>
      </c>
      <c r="M204" s="51">
        <f t="shared" ca="1" si="88"/>
        <v>-2.75</v>
      </c>
      <c r="N204" s="51">
        <f t="shared" ca="1" si="88"/>
        <v>-2.75</v>
      </c>
      <c r="O204" s="51">
        <f t="shared" ca="1" si="88"/>
        <v>-2.75</v>
      </c>
      <c r="P204" s="51">
        <f t="shared" ca="1" si="88"/>
        <v>-2.75</v>
      </c>
      <c r="Q204" s="51">
        <f t="shared" ca="1" si="88"/>
        <v>-2.75</v>
      </c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>
        <f ca="1">J204+J191</f>
        <v>31.475637063283308</v>
      </c>
      <c r="K206" s="102">
        <f t="shared" ref="K206:Q206" ca="1" si="89">K204+K191</f>
        <v>33.925810480326092</v>
      </c>
      <c r="L206" s="102">
        <f t="shared" ca="1" si="89"/>
        <v>37.606428797631494</v>
      </c>
      <c r="M206" s="102">
        <f t="shared" ca="1" si="89"/>
        <v>31.020931301949176</v>
      </c>
      <c r="N206" s="102">
        <f t="shared" ca="1" si="89"/>
        <v>35.451814713507815</v>
      </c>
      <c r="O206" s="102">
        <f t="shared" ca="1" si="89"/>
        <v>39.731310820918949</v>
      </c>
      <c r="P206" s="102">
        <f t="shared" ca="1" si="89"/>
        <v>43.759503120615079</v>
      </c>
      <c r="Q206" s="102">
        <f t="shared" ca="1" si="89"/>
        <v>48.414529087800247</v>
      </c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>
        <f t="shared" ref="J209:Q209" ca="1" si="90">IF(J206&gt;0,-MAX(0,MIN(J206,I181)),-MIN(0,J206))</f>
        <v>0</v>
      </c>
      <c r="K209" s="82">
        <f t="shared" ca="1" si="90"/>
        <v>0</v>
      </c>
      <c r="L209" s="82">
        <f t="shared" ca="1" si="90"/>
        <v>0</v>
      </c>
      <c r="M209" s="82">
        <f t="shared" ca="1" si="90"/>
        <v>0</v>
      </c>
      <c r="N209" s="82">
        <f t="shared" ca="1" si="90"/>
        <v>0</v>
      </c>
      <c r="O209" s="82">
        <f t="shared" ca="1" si="90"/>
        <v>0</v>
      </c>
      <c r="P209" s="82">
        <f t="shared" ca="1" si="90"/>
        <v>0</v>
      </c>
      <c r="Q209" s="82">
        <f t="shared" ca="1" si="90"/>
        <v>0</v>
      </c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>
        <f ca="1">-MAX(0,MIN(SUM(J$206,J$209:J209),I182+J201))</f>
        <v>-31.475637063283308</v>
      </c>
      <c r="K210" s="72">
        <f ca="1">-MAX(0,MIN(SUM(K$206,K$209:K209),J182+K201))</f>
        <v>-33.925810480326092</v>
      </c>
      <c r="L210" s="72">
        <f ca="1">-MAX(0,MIN(SUM(L$206,L$209:L209),K182+L201))</f>
        <v>-37.606428797631494</v>
      </c>
      <c r="M210" s="72">
        <f ca="1">-MAX(0,MIN(SUM(M$206,M$209:M209),L182+M201))</f>
        <v>-31.020931301949176</v>
      </c>
      <c r="N210" s="72">
        <f ca="1">-MAX(0,MIN(SUM(N$206,N$209:N209),M182+N201))</f>
        <v>-35.451814713507815</v>
      </c>
      <c r="O210" s="72">
        <f ca="1">-MAX(0,MIN(SUM(O$206,O$209:O209),N182+O201))</f>
        <v>-39.731310820918949</v>
      </c>
      <c r="P210" s="72">
        <f ca="1">-MAX(0,MIN(SUM(P$206,P$209:P209),O182+P201))</f>
        <v>-43.759503120615079</v>
      </c>
      <c r="Q210" s="72">
        <f ca="1">-MAX(0,MIN(SUM(Q$206,Q$209:Q209),P182+Q201))</f>
        <v>-2.8563701768078431E-2</v>
      </c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>
        <f ca="1">-MAX(0,MIN(SUM(J$206,J$209:J210),I183+J202))</f>
        <v>0</v>
      </c>
      <c r="K211" s="72">
        <f ca="1">-MAX(0,MIN(SUM(K$206,K$209:K210),J183+K202))</f>
        <v>0</v>
      </c>
      <c r="L211" s="72">
        <f ca="1">-MAX(0,MIN(SUM(L$206,L$209:L210),K183+L202))</f>
        <v>0</v>
      </c>
      <c r="M211" s="72">
        <f ca="1">-MAX(0,MIN(SUM(M$206,M$209:M210),L183+M202))</f>
        <v>0</v>
      </c>
      <c r="N211" s="72">
        <f ca="1">-MAX(0,MIN(SUM(N$206,N$209:N210),M183+N202))</f>
        <v>0</v>
      </c>
      <c r="O211" s="72">
        <f ca="1">-MAX(0,MIN(SUM(O$206,O$209:O210),N183+O202))</f>
        <v>0</v>
      </c>
      <c r="P211" s="72">
        <f ca="1">-MAX(0,MIN(SUM(P$206,P$209:P210),O183+P202))</f>
        <v>0</v>
      </c>
      <c r="Q211" s="72">
        <f ca="1">-MAX(0,MIN(SUM(Q$206,Q$209:Q210),P183+Q202))</f>
        <v>-48.385965386032169</v>
      </c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>
        <f ca="1">-MAX(0,MIN(SUM(J$206,J$209:J211),I184+J203))</f>
        <v>0</v>
      </c>
      <c r="K212" s="72">
        <f ca="1">-MAX(0,MIN(SUM(K$206,K$209:K211),J184+K203))</f>
        <v>0</v>
      </c>
      <c r="L212" s="72">
        <f ca="1">-MAX(0,MIN(SUM(L$206,L$209:L211),K184+L203))</f>
        <v>0</v>
      </c>
      <c r="M212" s="72">
        <f ca="1">-MAX(0,MIN(SUM(M$206,M$209:M211),L184+M203))</f>
        <v>0</v>
      </c>
      <c r="N212" s="72">
        <f ca="1">-MAX(0,MIN(SUM(N$206,N$209:N211),M184+N203))</f>
        <v>0</v>
      </c>
      <c r="O212" s="72">
        <f ca="1">-MAX(0,MIN(SUM(O$206,O$209:O211),N184+O203))</f>
        <v>0</v>
      </c>
      <c r="P212" s="72">
        <f ca="1">-MAX(0,MIN(SUM(P$206,P$209:P211),O184+P203))</f>
        <v>0</v>
      </c>
      <c r="Q212" s="72">
        <f ca="1">-MAX(0,MIN(SUM(Q$206,Q$209:Q211),P184+Q203))</f>
        <v>0</v>
      </c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>
        <f ca="1">SUM(J209:J212)</f>
        <v>-31.475637063283308</v>
      </c>
      <c r="K213" s="51">
        <f t="shared" ref="K213:Q213" ca="1" si="91">SUM(K209:K212)</f>
        <v>-33.925810480326092</v>
      </c>
      <c r="L213" s="51">
        <f t="shared" ca="1" si="91"/>
        <v>-37.606428797631494</v>
      </c>
      <c r="M213" s="51">
        <f t="shared" ca="1" si="91"/>
        <v>-31.020931301949176</v>
      </c>
      <c r="N213" s="51">
        <f t="shared" ca="1" si="91"/>
        <v>-35.451814713507815</v>
      </c>
      <c r="O213" s="51">
        <f t="shared" ca="1" si="91"/>
        <v>-39.731310820918949</v>
      </c>
      <c r="P213" s="51">
        <f t="shared" ca="1" si="91"/>
        <v>-43.759503120615079</v>
      </c>
      <c r="Q213" s="51">
        <f t="shared" ca="1" si="91"/>
        <v>-48.414529087800247</v>
      </c>
    </row>
    <row r="214" spans="1:24" x14ac:dyDescent="0.2">
      <c r="H214" s="3" t="s">
        <v>185</v>
      </c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92">J$116</f>
        <v>43100</v>
      </c>
      <c r="K219" s="54">
        <f t="shared" si="92"/>
        <v>43465</v>
      </c>
      <c r="L219" s="54">
        <f t="shared" si="92"/>
        <v>43830</v>
      </c>
      <c r="M219" s="54">
        <f t="shared" si="92"/>
        <v>44196</v>
      </c>
      <c r="N219" s="54">
        <f t="shared" si="92"/>
        <v>44561</v>
      </c>
      <c r="O219" s="54">
        <f t="shared" si="92"/>
        <v>44926</v>
      </c>
      <c r="P219" s="54">
        <f t="shared" si="92"/>
        <v>45291</v>
      </c>
      <c r="Q219" s="54">
        <f t="shared" si="92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>
        <f ca="1">IF($H$38=1,AVERAGE(I189:J189),I189)</f>
        <v>100</v>
      </c>
      <c r="K225" s="82">
        <f t="shared" ref="K225:Q225" ca="1" si="93">IF($H$38=1,AVERAGE(J189:K189),J189)</f>
        <v>100</v>
      </c>
      <c r="L225" s="82">
        <f t="shared" ca="1" si="93"/>
        <v>100</v>
      </c>
      <c r="M225" s="82">
        <f t="shared" ca="1" si="93"/>
        <v>100</v>
      </c>
      <c r="N225" s="82">
        <f t="shared" ca="1" si="93"/>
        <v>100</v>
      </c>
      <c r="O225" s="82">
        <f t="shared" ca="1" si="93"/>
        <v>100</v>
      </c>
      <c r="P225" s="82">
        <f t="shared" ca="1" si="93"/>
        <v>100</v>
      </c>
      <c r="Q225" s="82">
        <f t="shared" ca="1" si="93"/>
        <v>100</v>
      </c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>
        <f ca="1">IF($H$38=1,AVERAGE(I181:J181),I181)</f>
        <v>0</v>
      </c>
      <c r="K226" s="72">
        <f t="shared" ref="K226:Q226" ca="1" si="94">IF($H$38=1,AVERAGE(J181:K181),J181)</f>
        <v>0</v>
      </c>
      <c r="L226" s="72">
        <f t="shared" ca="1" si="94"/>
        <v>0</v>
      </c>
      <c r="M226" s="72">
        <f t="shared" ca="1" si="94"/>
        <v>0</v>
      </c>
      <c r="N226" s="72">
        <f t="shared" ca="1" si="94"/>
        <v>0</v>
      </c>
      <c r="O226" s="72">
        <f t="shared" ca="1" si="94"/>
        <v>0</v>
      </c>
      <c r="P226" s="72">
        <f t="shared" ca="1" si="94"/>
        <v>0</v>
      </c>
      <c r="Q226" s="72">
        <f t="shared" ca="1" si="94"/>
        <v>0</v>
      </c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>
        <f t="shared" ref="J227:Q229" ca="1" si="95">IF($H$38=1,AVERAGE(I182:J182),I182)</f>
        <v>257.88718146835834</v>
      </c>
      <c r="K227" s="72">
        <f t="shared" ca="1" si="95"/>
        <v>222.43645769655365</v>
      </c>
      <c r="L227" s="72">
        <f t="shared" ca="1" si="95"/>
        <v>183.92033805757487</v>
      </c>
      <c r="M227" s="72">
        <f t="shared" ca="1" si="95"/>
        <v>146.85665800778452</v>
      </c>
      <c r="N227" s="72">
        <f t="shared" ca="1" si="95"/>
        <v>110.87028500005601</v>
      </c>
      <c r="O227" s="72">
        <f t="shared" ca="1" si="95"/>
        <v>70.528722232842625</v>
      </c>
      <c r="P227" s="72">
        <f t="shared" ca="1" si="95"/>
        <v>26.033315262075618</v>
      </c>
      <c r="Q227" s="72">
        <f t="shared" ca="1" si="95"/>
        <v>1.3892818508840392</v>
      </c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>
        <f t="shared" ca="1" si="95"/>
        <v>225</v>
      </c>
      <c r="K228" s="72">
        <f t="shared" ca="1" si="95"/>
        <v>225</v>
      </c>
      <c r="L228" s="72">
        <f t="shared" ca="1" si="95"/>
        <v>225</v>
      </c>
      <c r="M228" s="72">
        <f t="shared" ca="1" si="95"/>
        <v>225</v>
      </c>
      <c r="N228" s="72">
        <f t="shared" ca="1" si="95"/>
        <v>225</v>
      </c>
      <c r="O228" s="72">
        <f t="shared" ca="1" si="95"/>
        <v>225</v>
      </c>
      <c r="P228" s="72">
        <f t="shared" ca="1" si="95"/>
        <v>225</v>
      </c>
      <c r="Q228" s="72">
        <f t="shared" ca="1" si="95"/>
        <v>200.80701730698391</v>
      </c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>
        <f ca="1">IF($H$38=1,AVERAGE(I184:J184),I184)</f>
        <v>104.43864229765013</v>
      </c>
      <c r="K229" s="73">
        <f t="shared" ca="1" si="95"/>
        <v>113.70995780188017</v>
      </c>
      <c r="L229" s="73">
        <f t="shared" ca="1" si="95"/>
        <v>123.8043143691489</v>
      </c>
      <c r="M229" s="73">
        <f t="shared" ca="1" si="95"/>
        <v>129.06599772983773</v>
      </c>
      <c r="N229" s="73">
        <f t="shared" ca="1" si="95"/>
        <v>129.06599772983773</v>
      </c>
      <c r="O229" s="73">
        <f t="shared" ca="1" si="95"/>
        <v>129.06599772983773</v>
      </c>
      <c r="P229" s="73">
        <f t="shared" ca="1" si="95"/>
        <v>129.06599772983773</v>
      </c>
      <c r="Q229" s="73">
        <f t="shared" ca="1" si="95"/>
        <v>129.06599772983773</v>
      </c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>
        <f>IF($G232=1,J$222,0)+$H232</f>
        <v>3.5000000000000001E-3</v>
      </c>
      <c r="K232" s="108">
        <f t="shared" ref="K232:Q236" si="96">IF($G232=1,K$222,0)+$H232</f>
        <v>3.5000000000000001E-3</v>
      </c>
      <c r="L232" s="108">
        <f t="shared" si="96"/>
        <v>3.5000000000000001E-3</v>
      </c>
      <c r="M232" s="108">
        <f t="shared" si="96"/>
        <v>3.5000000000000001E-3</v>
      </c>
      <c r="N232" s="108">
        <f t="shared" si="96"/>
        <v>3.5000000000000001E-3</v>
      </c>
      <c r="O232" s="108">
        <f t="shared" si="96"/>
        <v>3.5000000000000001E-3</v>
      </c>
      <c r="P232" s="108">
        <f t="shared" si="96"/>
        <v>3.5000000000000001E-3</v>
      </c>
      <c r="Q232" s="108">
        <f t="shared" si="96"/>
        <v>3.5000000000000001E-3</v>
      </c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97">S10</f>
        <v>1</v>
      </c>
      <c r="H233" s="110">
        <f t="shared" si="97"/>
        <v>0.02</v>
      </c>
      <c r="I233" s="16"/>
      <c r="J233" s="111">
        <f t="shared" ref="J233:J236" si="98">IF($G233=1,J$222,0)+$H233</f>
        <v>2.5000000000000001E-2</v>
      </c>
      <c r="K233" s="111">
        <f t="shared" si="96"/>
        <v>3.1E-2</v>
      </c>
      <c r="L233" s="111">
        <f t="shared" si="96"/>
        <v>3.5000000000000003E-2</v>
      </c>
      <c r="M233" s="111">
        <f t="shared" si="96"/>
        <v>4.1499999999999995E-2</v>
      </c>
      <c r="N233" s="111">
        <f t="shared" si="96"/>
        <v>4.4999999999999998E-2</v>
      </c>
      <c r="O233" s="111">
        <f t="shared" si="96"/>
        <v>0.05</v>
      </c>
      <c r="P233" s="111">
        <f t="shared" si="96"/>
        <v>0.05</v>
      </c>
      <c r="Q233" s="111">
        <f t="shared" si="96"/>
        <v>0.05</v>
      </c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97"/>
        <v>1</v>
      </c>
      <c r="H234" s="109">
        <f t="shared" si="97"/>
        <v>0.03</v>
      </c>
      <c r="I234" s="16"/>
      <c r="J234" s="111">
        <f t="shared" si="98"/>
        <v>3.4999999999999996E-2</v>
      </c>
      <c r="K234" s="111">
        <f t="shared" si="96"/>
        <v>4.0999999999999995E-2</v>
      </c>
      <c r="L234" s="111">
        <f t="shared" si="96"/>
        <v>4.4999999999999998E-2</v>
      </c>
      <c r="M234" s="111">
        <f t="shared" si="96"/>
        <v>5.1499999999999997E-2</v>
      </c>
      <c r="N234" s="111">
        <f t="shared" si="96"/>
        <v>5.5E-2</v>
      </c>
      <c r="O234" s="111">
        <f t="shared" si="96"/>
        <v>0.06</v>
      </c>
      <c r="P234" s="111">
        <f t="shared" si="96"/>
        <v>0.06</v>
      </c>
      <c r="Q234" s="111">
        <f t="shared" si="96"/>
        <v>0.06</v>
      </c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97"/>
        <v>0</v>
      </c>
      <c r="H235" s="111">
        <f t="shared" si="97"/>
        <v>7.0000000000000007E-2</v>
      </c>
      <c r="I235" s="16"/>
      <c r="J235" s="111">
        <f t="shared" si="98"/>
        <v>7.0000000000000007E-2</v>
      </c>
      <c r="K235" s="111">
        <f t="shared" si="96"/>
        <v>7.0000000000000007E-2</v>
      </c>
      <c r="L235" s="111">
        <f t="shared" si="96"/>
        <v>7.0000000000000007E-2</v>
      </c>
      <c r="M235" s="111">
        <f t="shared" si="96"/>
        <v>7.0000000000000007E-2</v>
      </c>
      <c r="N235" s="111">
        <f t="shared" si="96"/>
        <v>7.0000000000000007E-2</v>
      </c>
      <c r="O235" s="111">
        <f t="shared" si="96"/>
        <v>7.0000000000000007E-2</v>
      </c>
      <c r="P235" s="111">
        <f t="shared" si="96"/>
        <v>7.0000000000000007E-2</v>
      </c>
      <c r="Q235" s="111">
        <f t="shared" si="96"/>
        <v>7.0000000000000007E-2</v>
      </c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97"/>
        <v>0</v>
      </c>
      <c r="H236" s="112">
        <f t="shared" si="97"/>
        <v>8.5000000000000006E-2</v>
      </c>
      <c r="I236" s="17"/>
      <c r="J236" s="112">
        <f t="shared" si="98"/>
        <v>8.5000000000000006E-2</v>
      </c>
      <c r="K236" s="112">
        <f t="shared" si="96"/>
        <v>8.5000000000000006E-2</v>
      </c>
      <c r="L236" s="112">
        <f t="shared" si="96"/>
        <v>8.5000000000000006E-2</v>
      </c>
      <c r="M236" s="112">
        <f t="shared" si="96"/>
        <v>8.5000000000000006E-2</v>
      </c>
      <c r="N236" s="112">
        <f t="shared" si="96"/>
        <v>8.5000000000000006E-2</v>
      </c>
      <c r="O236" s="112">
        <f t="shared" si="96"/>
        <v>8.5000000000000006E-2</v>
      </c>
      <c r="P236" s="112">
        <f t="shared" si="96"/>
        <v>8.5000000000000006E-2</v>
      </c>
      <c r="Q236" s="112">
        <f t="shared" si="96"/>
        <v>8.5000000000000006E-2</v>
      </c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>
        <f ca="1">J225*J232</f>
        <v>0.35000000000000003</v>
      </c>
      <c r="K239" s="82">
        <f t="shared" ref="K239:Q239" ca="1" si="99">K225*K232</f>
        <v>0.35000000000000003</v>
      </c>
      <c r="L239" s="82">
        <f t="shared" ca="1" si="99"/>
        <v>0.35000000000000003</v>
      </c>
      <c r="M239" s="82">
        <f t="shared" ca="1" si="99"/>
        <v>0.35000000000000003</v>
      </c>
      <c r="N239" s="82">
        <f t="shared" ca="1" si="99"/>
        <v>0.35000000000000003</v>
      </c>
      <c r="O239" s="82">
        <f t="shared" ca="1" si="99"/>
        <v>0.35000000000000003</v>
      </c>
      <c r="P239" s="82">
        <f t="shared" ca="1" si="99"/>
        <v>0.35000000000000003</v>
      </c>
      <c r="Q239" s="82">
        <f t="shared" ca="1" si="99"/>
        <v>0.35000000000000003</v>
      </c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>
        <f t="shared" ref="J240:Q243" ca="1" si="100">J226*J233</f>
        <v>0</v>
      </c>
      <c r="K240" s="72">
        <f t="shared" ca="1" si="100"/>
        <v>0</v>
      </c>
      <c r="L240" s="72">
        <f t="shared" ca="1" si="100"/>
        <v>0</v>
      </c>
      <c r="M240" s="72">
        <f t="shared" ca="1" si="100"/>
        <v>0</v>
      </c>
      <c r="N240" s="72">
        <f t="shared" ca="1" si="100"/>
        <v>0</v>
      </c>
      <c r="O240" s="72">
        <f t="shared" ca="1" si="100"/>
        <v>0</v>
      </c>
      <c r="P240" s="72">
        <f t="shared" ca="1" si="100"/>
        <v>0</v>
      </c>
      <c r="Q240" s="72">
        <f t="shared" ca="1" si="100"/>
        <v>0</v>
      </c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>
        <f t="shared" ca="1" si="100"/>
        <v>9.0260513513925407</v>
      </c>
      <c r="K241" s="72">
        <f t="shared" ca="1" si="100"/>
        <v>9.1198947655586977</v>
      </c>
      <c r="L241" s="72">
        <f t="shared" ca="1" si="100"/>
        <v>8.2764152125908694</v>
      </c>
      <c r="M241" s="72">
        <f t="shared" ca="1" si="100"/>
        <v>7.5631178874009022</v>
      </c>
      <c r="N241" s="72">
        <f t="shared" ca="1" si="100"/>
        <v>6.0978656750030806</v>
      </c>
      <c r="O241" s="72">
        <f t="shared" ca="1" si="100"/>
        <v>4.2317233339705576</v>
      </c>
      <c r="P241" s="72">
        <f t="shared" ca="1" si="100"/>
        <v>1.5619989157245371</v>
      </c>
      <c r="Q241" s="72">
        <f t="shared" ca="1" si="100"/>
        <v>8.3356911053042354E-2</v>
      </c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>
        <f t="shared" ca="1" si="100"/>
        <v>15.750000000000002</v>
      </c>
      <c r="K242" s="72">
        <f t="shared" ca="1" si="100"/>
        <v>15.750000000000002</v>
      </c>
      <c r="L242" s="72">
        <f t="shared" ca="1" si="100"/>
        <v>15.750000000000002</v>
      </c>
      <c r="M242" s="72">
        <f t="shared" ca="1" si="100"/>
        <v>15.750000000000002</v>
      </c>
      <c r="N242" s="72">
        <f t="shared" ca="1" si="100"/>
        <v>15.750000000000002</v>
      </c>
      <c r="O242" s="72">
        <f t="shared" ca="1" si="100"/>
        <v>15.750000000000002</v>
      </c>
      <c r="P242" s="72">
        <f t="shared" ca="1" si="100"/>
        <v>15.750000000000002</v>
      </c>
      <c r="Q242" s="72">
        <f t="shared" ca="1" si="100"/>
        <v>14.056491211488876</v>
      </c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>
        <f t="shared" ca="1" si="100"/>
        <v>8.8772845953002619</v>
      </c>
      <c r="K243" s="73">
        <f t="shared" ca="1" si="100"/>
        <v>9.6653464131598152</v>
      </c>
      <c r="L243" s="73">
        <f t="shared" ca="1" si="100"/>
        <v>10.523366721377657</v>
      </c>
      <c r="M243" s="73">
        <f t="shared" ca="1" si="100"/>
        <v>10.970609807036208</v>
      </c>
      <c r="N243" s="73">
        <f t="shared" ca="1" si="100"/>
        <v>10.970609807036208</v>
      </c>
      <c r="O243" s="73">
        <f t="shared" ca="1" si="100"/>
        <v>10.970609807036208</v>
      </c>
      <c r="P243" s="73">
        <f t="shared" ca="1" si="100"/>
        <v>10.970609807036208</v>
      </c>
      <c r="Q243" s="73">
        <f t="shared" ca="1" si="100"/>
        <v>10.970609807036208</v>
      </c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>
        <f ca="1">SUM(J239:J243)</f>
        <v>34.0033359466928</v>
      </c>
      <c r="K244" s="51">
        <f t="shared" ref="K244:Q244" ca="1" si="101">SUM(K239:K243)</f>
        <v>34.885241178718516</v>
      </c>
      <c r="L244" s="51">
        <f t="shared" ca="1" si="101"/>
        <v>34.899781933968526</v>
      </c>
      <c r="M244" s="51">
        <f t="shared" ca="1" si="101"/>
        <v>34.633727694437113</v>
      </c>
      <c r="N244" s="51">
        <f t="shared" ca="1" si="101"/>
        <v>33.168475482039291</v>
      </c>
      <c r="O244" s="51">
        <f t="shared" ca="1" si="101"/>
        <v>31.302333141006766</v>
      </c>
      <c r="P244" s="51">
        <f t="shared" ca="1" si="101"/>
        <v>28.632608722760747</v>
      </c>
      <c r="Q244" s="51">
        <f t="shared" ca="1" si="101"/>
        <v>25.460457929578126</v>
      </c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>
        <f>IF(YEAR(J$219)-YEAR($I$177)&gt;$G247,0,J242)</f>
        <v>0</v>
      </c>
      <c r="K247" s="82">
        <f t="shared" ref="K247:Q247" si="102">IF(YEAR(K$219)-YEAR($I$177)&gt;$G247,0,K242)</f>
        <v>0</v>
      </c>
      <c r="L247" s="82">
        <f t="shared" si="102"/>
        <v>0</v>
      </c>
      <c r="M247" s="82">
        <f t="shared" si="102"/>
        <v>0</v>
      </c>
      <c r="N247" s="82">
        <f t="shared" si="102"/>
        <v>0</v>
      </c>
      <c r="O247" s="82">
        <f t="shared" si="102"/>
        <v>0</v>
      </c>
      <c r="P247" s="82">
        <f t="shared" si="102"/>
        <v>0</v>
      </c>
      <c r="Q247" s="82">
        <f t="shared" si="102"/>
        <v>0</v>
      </c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03">V13</f>
        <v>3</v>
      </c>
      <c r="H248" s="17"/>
      <c r="I248" s="17"/>
      <c r="J248" s="73">
        <f t="shared" ref="J248:Q248" ca="1" si="104">IF(YEAR(J$219)-YEAR($I$177)&gt;$G248,0,J243)</f>
        <v>8.8772845953002619</v>
      </c>
      <c r="K248" s="73">
        <f t="shared" ca="1" si="104"/>
        <v>9.6653464131598152</v>
      </c>
      <c r="L248" s="73">
        <f t="shared" ca="1" si="104"/>
        <v>10.523366721377657</v>
      </c>
      <c r="M248" s="73">
        <f t="shared" si="104"/>
        <v>0</v>
      </c>
      <c r="N248" s="73">
        <f t="shared" si="104"/>
        <v>0</v>
      </c>
      <c r="O248" s="73">
        <f t="shared" si="104"/>
        <v>0</v>
      </c>
      <c r="P248" s="73">
        <f t="shared" si="104"/>
        <v>0</v>
      </c>
      <c r="Q248" s="73">
        <f t="shared" si="104"/>
        <v>0</v>
      </c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>
        <f ca="1">SUM(J247:J248)</f>
        <v>8.8772845953002619</v>
      </c>
      <c r="K249" s="51">
        <f t="shared" ref="K249:Q249" ca="1" si="105">SUM(K247:K248)</f>
        <v>9.6653464131598152</v>
      </c>
      <c r="L249" s="51">
        <f t="shared" ca="1" si="105"/>
        <v>10.523366721377657</v>
      </c>
      <c r="M249" s="51">
        <f t="shared" si="105"/>
        <v>0</v>
      </c>
      <c r="N249" s="51">
        <f t="shared" si="105"/>
        <v>0</v>
      </c>
      <c r="O249" s="51">
        <f t="shared" si="105"/>
        <v>0</v>
      </c>
      <c r="P249" s="51">
        <f t="shared" si="105"/>
        <v>0</v>
      </c>
      <c r="Q249" s="51">
        <f t="shared" si="105"/>
        <v>0</v>
      </c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>
        <f>MAX(0, MIN($G252/$H252,$G252-SUM($I252:I252)))</f>
        <v>0.1</v>
      </c>
      <c r="K252" s="82">
        <f>MAX(0, MIN($G252/$H252,$G252-SUM($I252:J252)))</f>
        <v>0.1</v>
      </c>
      <c r="L252" s="82">
        <f>MAX(0, MIN($G252/$H252,$G252-SUM($I252:K252)))</f>
        <v>0.1</v>
      </c>
      <c r="M252" s="82">
        <f>MAX(0, MIN($G252/$H252,$G252-SUM($I252:L252)))</f>
        <v>0.1</v>
      </c>
      <c r="N252" s="82">
        <f>MAX(0, MIN($G252/$H252,$G252-SUM($I252:M252)))</f>
        <v>9.9999999999999978E-2</v>
      </c>
      <c r="O252" s="82">
        <f>MAX(0, MIN($G252/$H252,$G252-SUM($I252:N252)))</f>
        <v>0</v>
      </c>
      <c r="P252" s="82">
        <f>MAX(0, MIN($G252/$H252,$G252-SUM($I252:O252)))</f>
        <v>0</v>
      </c>
      <c r="Q252" s="82">
        <f>MAX(0, MIN($G252/$H252,$G252-SUM($I252:P252)))</f>
        <v>0</v>
      </c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>
        <f>MAX(0, MIN($G253/$H253,$G253-SUM($I253:I253)))</f>
        <v>0.57291666666666663</v>
      </c>
      <c r="K253" s="72">
        <f>MAX(0, MIN($G253/$H253,$G253-SUM($I253:J253)))</f>
        <v>0.57291666666666663</v>
      </c>
      <c r="L253" s="72">
        <f>MAX(0, MIN($G253/$H253,$G253-SUM($I253:K253)))</f>
        <v>0.57291666666666663</v>
      </c>
      <c r="M253" s="72">
        <f>MAX(0, MIN($G253/$H253,$G253-SUM($I253:L253)))</f>
        <v>0.57291666666666663</v>
      </c>
      <c r="N253" s="72">
        <f>MAX(0, MIN($G253/$H253,$G253-SUM($I253:M253)))</f>
        <v>0.57291666666666663</v>
      </c>
      <c r="O253" s="72">
        <f>MAX(0, MIN($G253/$H253,$G253-SUM($I253:N253)))</f>
        <v>0.57291666666666663</v>
      </c>
      <c r="P253" s="72">
        <f>MAX(0, MIN($G253/$H253,$G253-SUM($I253:O253)))</f>
        <v>4.4408920985006262E-16</v>
      </c>
      <c r="Q253" s="72">
        <f>MAX(0, MIN($G253/$H253,$G253-SUM($I253:P253)))</f>
        <v>0</v>
      </c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>
        <f>MAX(0, MIN($G254/$H254,$G254-SUM($I254:I254)))</f>
        <v>0.5625</v>
      </c>
      <c r="K254" s="72">
        <f>MAX(0, MIN($G254/$H254,$G254-SUM($I254:J254)))</f>
        <v>0.5625</v>
      </c>
      <c r="L254" s="72">
        <f>MAX(0, MIN($G254/$H254,$G254-SUM($I254:K254)))</f>
        <v>0.5625</v>
      </c>
      <c r="M254" s="72">
        <f>MAX(0, MIN($G254/$H254,$G254-SUM($I254:L254)))</f>
        <v>0.5625</v>
      </c>
      <c r="N254" s="72">
        <f>MAX(0, MIN($G254/$H254,$G254-SUM($I254:M254)))</f>
        <v>0.5625</v>
      </c>
      <c r="O254" s="72">
        <f>MAX(0, MIN($G254/$H254,$G254-SUM($I254:N254)))</f>
        <v>0.5625</v>
      </c>
      <c r="P254" s="72">
        <f>MAX(0, MIN($G254/$H254,$G254-SUM($I254:O254)))</f>
        <v>0.5625</v>
      </c>
      <c r="Q254" s="72">
        <f>MAX(0, MIN($G254/$H254,$G254-SUM($I254:P254)))</f>
        <v>0.5625</v>
      </c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>
        <f>MAX(0, MIN($G255/$H255,$G255-SUM($I255:I255)))</f>
        <v>0.25</v>
      </c>
      <c r="K255" s="73">
        <f>MAX(0, MIN($G255/$H255,$G255-SUM($I255:J255)))</f>
        <v>0.25</v>
      </c>
      <c r="L255" s="73">
        <f>MAX(0, MIN($G255/$H255,$G255-SUM($I255:K255)))</f>
        <v>0.25</v>
      </c>
      <c r="M255" s="73">
        <f>MAX(0, MIN($G255/$H255,$G255-SUM($I255:L255)))</f>
        <v>0.25</v>
      </c>
      <c r="N255" s="73">
        <f>MAX(0, MIN($G255/$H255,$G255-SUM($I255:M255)))</f>
        <v>0.25</v>
      </c>
      <c r="O255" s="73">
        <f>MAX(0, MIN($G255/$H255,$G255-SUM($I255:N255)))</f>
        <v>0.25</v>
      </c>
      <c r="P255" s="73">
        <f>MAX(0, MIN($G255/$H255,$G255-SUM($I255:O255)))</f>
        <v>0.25</v>
      </c>
      <c r="Q255" s="73">
        <f>MAX(0, MIN($G255/$H255,$G255-SUM($I255:P255)))</f>
        <v>0.25</v>
      </c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>
        <f>SUM(J252:J255)</f>
        <v>1.4854166666666666</v>
      </c>
      <c r="K256" s="51">
        <f t="shared" ref="K256:Q256" si="106">SUM(K252:K255)</f>
        <v>1.4854166666666666</v>
      </c>
      <c r="L256" s="51">
        <f t="shared" si="106"/>
        <v>1.4854166666666666</v>
      </c>
      <c r="M256" s="51">
        <f t="shared" si="106"/>
        <v>1.4854166666666666</v>
      </c>
      <c r="N256" s="51">
        <f t="shared" si="106"/>
        <v>1.4854166666666666</v>
      </c>
      <c r="O256" s="51">
        <f t="shared" si="106"/>
        <v>1.3854166666666665</v>
      </c>
      <c r="P256" s="51">
        <f t="shared" si="106"/>
        <v>0.81250000000000044</v>
      </c>
      <c r="Q256" s="51">
        <f t="shared" si="106"/>
        <v>0.8125</v>
      </c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>
        <f ca="1">J244</f>
        <v>34.0033359466928</v>
      </c>
      <c r="K259" s="82">
        <f t="shared" ref="K259:Q259" ca="1" si="107">K244</f>
        <v>34.885241178718516</v>
      </c>
      <c r="L259" s="82">
        <f t="shared" ca="1" si="107"/>
        <v>34.899781933968526</v>
      </c>
      <c r="M259" s="82">
        <f t="shared" ca="1" si="107"/>
        <v>34.633727694437113</v>
      </c>
      <c r="N259" s="82">
        <f t="shared" ca="1" si="107"/>
        <v>33.168475482039291</v>
      </c>
      <c r="O259" s="82">
        <f t="shared" ca="1" si="107"/>
        <v>31.302333141006766</v>
      </c>
      <c r="P259" s="82">
        <f t="shared" ca="1" si="107"/>
        <v>28.632608722760747</v>
      </c>
      <c r="Q259" s="82">
        <f t="shared" ca="1" si="107"/>
        <v>25.460457929578126</v>
      </c>
    </row>
    <row r="260" spans="1:24" x14ac:dyDescent="0.2">
      <c r="B260" s="20" t="s">
        <v>157</v>
      </c>
      <c r="J260" s="50">
        <f>J256</f>
        <v>1.4854166666666666</v>
      </c>
      <c r="K260" s="50">
        <f t="shared" ref="K260:Q260" si="108">K256</f>
        <v>1.4854166666666666</v>
      </c>
      <c r="L260" s="50">
        <f t="shared" si="108"/>
        <v>1.4854166666666666</v>
      </c>
      <c r="M260" s="50">
        <f t="shared" si="108"/>
        <v>1.4854166666666666</v>
      </c>
      <c r="N260" s="50">
        <f t="shared" si="108"/>
        <v>1.4854166666666666</v>
      </c>
      <c r="O260" s="50">
        <f t="shared" si="108"/>
        <v>1.3854166666666665</v>
      </c>
      <c r="P260" s="50">
        <f t="shared" si="108"/>
        <v>0.81250000000000044</v>
      </c>
      <c r="Q260" s="50">
        <f t="shared" si="108"/>
        <v>0.8125</v>
      </c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>
        <f ca="1">SUM(J259:J260)</f>
        <v>35.488752613359466</v>
      </c>
      <c r="K261" s="51">
        <f t="shared" ref="K261:Q261" ca="1" si="109">SUM(K259:K260)</f>
        <v>36.370657845385182</v>
      </c>
      <c r="L261" s="51">
        <f t="shared" ca="1" si="109"/>
        <v>36.385198600635192</v>
      </c>
      <c r="M261" s="51">
        <f t="shared" ca="1" si="109"/>
        <v>36.119144361103778</v>
      </c>
      <c r="N261" s="51">
        <f t="shared" ca="1" si="109"/>
        <v>34.653892148705957</v>
      </c>
      <c r="O261" s="51">
        <f t="shared" ca="1" si="109"/>
        <v>32.687749807673434</v>
      </c>
      <c r="P261" s="51">
        <f t="shared" ca="1" si="109"/>
        <v>29.445108722760747</v>
      </c>
      <c r="Q261" s="51">
        <f t="shared" ca="1" si="109"/>
        <v>26.272957929578126</v>
      </c>
    </row>
    <row r="262" spans="1:24" x14ac:dyDescent="0.2">
      <c r="B262" s="20" t="s">
        <v>159</v>
      </c>
      <c r="J262" s="50">
        <f ca="1">-J171</f>
        <v>-1.2500000000000001E-2</v>
      </c>
      <c r="K262" s="50">
        <f t="shared" ref="K262:Q262" ca="1" si="110">-K171</f>
        <v>-1.2500000000000001E-2</v>
      </c>
      <c r="L262" s="50">
        <f t="shared" ca="1" si="110"/>
        <v>-1.2500000000000001E-2</v>
      </c>
      <c r="M262" s="50">
        <f t="shared" ca="1" si="110"/>
        <v>-1.2500000000000001E-2</v>
      </c>
      <c r="N262" s="50">
        <f t="shared" ca="1" si="110"/>
        <v>-1.2500000000000001E-2</v>
      </c>
      <c r="O262" s="50">
        <f t="shared" ca="1" si="110"/>
        <v>-1.2500000000000001E-2</v>
      </c>
      <c r="P262" s="50">
        <f t="shared" ca="1" si="110"/>
        <v>-1.2500000000000001E-2</v>
      </c>
      <c r="Q262" s="50">
        <f t="shared" ca="1" si="110"/>
        <v>-1.2500000000000001E-2</v>
      </c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>
        <f ca="1">SUM(J261:J262)</f>
        <v>35.476252613359463</v>
      </c>
      <c r="K263" s="51">
        <f t="shared" ref="K263:Q263" ca="1" si="111">SUM(K261:K262)</f>
        <v>36.358157845385179</v>
      </c>
      <c r="L263" s="51">
        <f t="shared" ca="1" si="111"/>
        <v>36.372698600635189</v>
      </c>
      <c r="M263" s="51">
        <f t="shared" ca="1" si="111"/>
        <v>36.106644361103776</v>
      </c>
      <c r="N263" s="51">
        <f t="shared" ca="1" si="111"/>
        <v>34.641392148705954</v>
      </c>
      <c r="O263" s="51">
        <f t="shared" ca="1" si="111"/>
        <v>32.675249807673431</v>
      </c>
      <c r="P263" s="51">
        <f t="shared" ca="1" si="111"/>
        <v>29.432608722760747</v>
      </c>
      <c r="Q263" s="51">
        <f t="shared" ca="1" si="111"/>
        <v>26.260457929578127</v>
      </c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>
        <f ca="1">J249</f>
        <v>8.8772845953002619</v>
      </c>
      <c r="K266" s="82">
        <f t="shared" ref="K266:Q266" ca="1" si="112">K249</f>
        <v>9.6653464131598152</v>
      </c>
      <c r="L266" s="82">
        <f t="shared" ca="1" si="112"/>
        <v>10.523366721377657</v>
      </c>
      <c r="M266" s="82">
        <f t="shared" si="112"/>
        <v>0</v>
      </c>
      <c r="N266" s="82">
        <f t="shared" si="112"/>
        <v>0</v>
      </c>
      <c r="O266" s="82">
        <f t="shared" si="112"/>
        <v>0</v>
      </c>
      <c r="P266" s="82">
        <f t="shared" si="112"/>
        <v>0</v>
      </c>
      <c r="Q266" s="82">
        <f t="shared" si="112"/>
        <v>0</v>
      </c>
    </row>
    <row r="267" spans="1:24" x14ac:dyDescent="0.2">
      <c r="B267" s="20" t="s">
        <v>157</v>
      </c>
      <c r="J267" s="50">
        <f>J256</f>
        <v>1.4854166666666666</v>
      </c>
      <c r="K267" s="50">
        <f t="shared" ref="K267:Q267" si="113">K256</f>
        <v>1.4854166666666666</v>
      </c>
      <c r="L267" s="50">
        <f t="shared" si="113"/>
        <v>1.4854166666666666</v>
      </c>
      <c r="M267" s="50">
        <f t="shared" si="113"/>
        <v>1.4854166666666666</v>
      </c>
      <c r="N267" s="50">
        <f t="shared" si="113"/>
        <v>1.4854166666666666</v>
      </c>
      <c r="O267" s="50">
        <f t="shared" si="113"/>
        <v>1.3854166666666665</v>
      </c>
      <c r="P267" s="50">
        <f t="shared" si="113"/>
        <v>0.81250000000000044</v>
      </c>
      <c r="Q267" s="50">
        <f t="shared" si="113"/>
        <v>0.8125</v>
      </c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>
        <f ca="1">SUM(J266:J267)</f>
        <v>10.362701261966929</v>
      </c>
      <c r="K268" s="51">
        <f t="shared" ref="K268:Q268" ca="1" si="114">SUM(K266:K267)</f>
        <v>11.150763079826483</v>
      </c>
      <c r="L268" s="51">
        <f t="shared" ca="1" si="114"/>
        <v>12.008783388044325</v>
      </c>
      <c r="M268" s="51">
        <f t="shared" si="114"/>
        <v>1.4854166666666666</v>
      </c>
      <c r="N268" s="51">
        <f t="shared" si="114"/>
        <v>1.4854166666666666</v>
      </c>
      <c r="O268" s="51">
        <f t="shared" si="114"/>
        <v>1.3854166666666665</v>
      </c>
      <c r="P268" s="51">
        <f t="shared" si="114"/>
        <v>0.81250000000000044</v>
      </c>
      <c r="Q268" s="51">
        <f t="shared" si="114"/>
        <v>0.8125</v>
      </c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115">J$116</f>
        <v>43100</v>
      </c>
      <c r="K275" s="54">
        <f t="shared" si="115"/>
        <v>43465</v>
      </c>
      <c r="L275" s="54">
        <f t="shared" si="115"/>
        <v>43830</v>
      </c>
      <c r="M275" s="54">
        <f t="shared" si="115"/>
        <v>44196</v>
      </c>
      <c r="N275" s="54">
        <f t="shared" si="115"/>
        <v>44561</v>
      </c>
      <c r="O275" s="54">
        <f t="shared" si="115"/>
        <v>44926</v>
      </c>
      <c r="P275" s="54">
        <f t="shared" si="115"/>
        <v>45291</v>
      </c>
      <c r="Q275" s="54">
        <f t="shared" si="115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>
        <f>SUM(I181:I182)</f>
        <v>275</v>
      </c>
      <c r="J279" s="82">
        <f t="shared" ref="J279:Q279" ca="1" si="116">SUM(J181:J182)</f>
        <v>240.7743629367167</v>
      </c>
      <c r="K279" s="82">
        <f t="shared" ca="1" si="116"/>
        <v>204.09855245639062</v>
      </c>
      <c r="L279" s="82">
        <f t="shared" ca="1" si="116"/>
        <v>163.74212365875911</v>
      </c>
      <c r="M279" s="82">
        <f t="shared" ca="1" si="116"/>
        <v>129.97119235680992</v>
      </c>
      <c r="N279" s="82">
        <f t="shared" ca="1" si="116"/>
        <v>91.769377643302107</v>
      </c>
      <c r="O279" s="82">
        <f t="shared" ca="1" si="116"/>
        <v>49.288066822383158</v>
      </c>
      <c r="P279" s="82">
        <f t="shared" ca="1" si="116"/>
        <v>2.7785637017680784</v>
      </c>
      <c r="Q279" s="82">
        <f t="shared" ca="1" si="116"/>
        <v>0</v>
      </c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>
        <f>SUM(I181:I183)</f>
        <v>500</v>
      </c>
      <c r="J280" s="72">
        <f t="shared" ref="J280:Q280" ca="1" si="117">SUM(J181:J183)</f>
        <v>465.77436293671667</v>
      </c>
      <c r="K280" s="72">
        <f t="shared" ca="1" si="117"/>
        <v>429.09855245639062</v>
      </c>
      <c r="L280" s="72">
        <f t="shared" ca="1" si="117"/>
        <v>388.74212365875911</v>
      </c>
      <c r="M280" s="72">
        <f t="shared" ca="1" si="117"/>
        <v>354.97119235680992</v>
      </c>
      <c r="N280" s="72">
        <f t="shared" ca="1" si="117"/>
        <v>316.76937764330211</v>
      </c>
      <c r="O280" s="72">
        <f t="shared" ca="1" si="117"/>
        <v>274.28806682238314</v>
      </c>
      <c r="P280" s="72">
        <f t="shared" ca="1" si="117"/>
        <v>227.77856370176806</v>
      </c>
      <c r="Q280" s="72">
        <f t="shared" ca="1" si="117"/>
        <v>176.61403461396782</v>
      </c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>
        <f>I185</f>
        <v>600</v>
      </c>
      <c r="J281" s="73">
        <f t="shared" ref="J281:Q281" ca="1" si="118">J185</f>
        <v>574.65164753201691</v>
      </c>
      <c r="K281" s="73">
        <f t="shared" ca="1" si="118"/>
        <v>547.64118346485066</v>
      </c>
      <c r="L281" s="73">
        <f t="shared" ca="1" si="118"/>
        <v>517.80812138859687</v>
      </c>
      <c r="M281" s="73">
        <f t="shared" ca="1" si="118"/>
        <v>484.03719008664768</v>
      </c>
      <c r="N281" s="73">
        <f t="shared" ca="1" si="118"/>
        <v>445.83537537313987</v>
      </c>
      <c r="O281" s="73">
        <f t="shared" ca="1" si="118"/>
        <v>403.35406455222085</v>
      </c>
      <c r="P281" s="73">
        <f t="shared" ca="1" si="118"/>
        <v>356.84456143160583</v>
      </c>
      <c r="Q281" s="73">
        <f t="shared" ca="1" si="118"/>
        <v>305.68003234380558</v>
      </c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>
        <f>I50</f>
        <v>90</v>
      </c>
      <c r="J284" s="82">
        <f>J50</f>
        <v>94.5</v>
      </c>
      <c r="K284" s="82">
        <f t="shared" ref="K284:Q284" si="119">K50</f>
        <v>100.17</v>
      </c>
      <c r="L284" s="82">
        <f t="shared" si="119"/>
        <v>107.18190000000001</v>
      </c>
      <c r="M284" s="82">
        <f t="shared" si="119"/>
        <v>113.61281400000001</v>
      </c>
      <c r="N284" s="82">
        <f t="shared" si="119"/>
        <v>119.29345470000001</v>
      </c>
      <c r="O284" s="82">
        <f t="shared" si="119"/>
        <v>124.06519288800001</v>
      </c>
      <c r="P284" s="82">
        <f t="shared" si="119"/>
        <v>129.02780060352001</v>
      </c>
      <c r="Q284" s="82">
        <f t="shared" si="119"/>
        <v>134.18891262766081</v>
      </c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72">
        <f ca="1">J285</f>
        <v>25.12605135139254</v>
      </c>
      <c r="J285" s="72">
        <f ca="1">J259-J266</f>
        <v>25.12605135139254</v>
      </c>
      <c r="K285" s="72">
        <f t="shared" ref="K285:Q285" ca="1" si="120">K259-K266</f>
        <v>25.219894765558699</v>
      </c>
      <c r="L285" s="72">
        <f t="shared" ca="1" si="120"/>
        <v>24.376415212590871</v>
      </c>
      <c r="M285" s="72">
        <f t="shared" ca="1" si="120"/>
        <v>34.633727694437113</v>
      </c>
      <c r="N285" s="72">
        <f t="shared" ca="1" si="120"/>
        <v>33.168475482039291</v>
      </c>
      <c r="O285" s="72">
        <f t="shared" ca="1" si="120"/>
        <v>31.302333141006766</v>
      </c>
      <c r="P285" s="72">
        <f t="shared" ca="1" si="120"/>
        <v>28.632608722760747</v>
      </c>
      <c r="Q285" s="72">
        <f t="shared" ca="1" si="120"/>
        <v>25.460457929578126</v>
      </c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73">
        <f>-I155</f>
        <v>17</v>
      </c>
      <c r="J286" s="73">
        <f>-J155</f>
        <v>17.850000000000001</v>
      </c>
      <c r="K286" s="73">
        <f t="shared" ref="K286:Q286" si="121">-K155</f>
        <v>18.920999999999999</v>
      </c>
      <c r="L286" s="73">
        <f t="shared" si="121"/>
        <v>20.245470000000001</v>
      </c>
      <c r="M286" s="73">
        <f t="shared" si="121"/>
        <v>21.460198200000001</v>
      </c>
      <c r="N286" s="73">
        <f t="shared" si="121"/>
        <v>22.533208110000004</v>
      </c>
      <c r="O286" s="73">
        <f t="shared" si="121"/>
        <v>23.434536434400002</v>
      </c>
      <c r="P286" s="73">
        <f t="shared" si="121"/>
        <v>24.371917891776004</v>
      </c>
      <c r="Q286" s="73">
        <f t="shared" si="121"/>
        <v>25.346794607447041</v>
      </c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>
        <f>I279/I$284</f>
        <v>3.0555555555555554</v>
      </c>
      <c r="J289" s="122">
        <f t="shared" ref="J289:Q289" ca="1" si="122">J279/J$284</f>
        <v>2.5478768564731924</v>
      </c>
      <c r="K289" s="122">
        <f t="shared" ca="1" si="122"/>
        <v>2.037521737609969</v>
      </c>
      <c r="L289" s="122">
        <f t="shared" ca="1" si="122"/>
        <v>1.5277031257960447</v>
      </c>
      <c r="M289" s="122">
        <f t="shared" ca="1" si="122"/>
        <v>1.1439835682338606</v>
      </c>
      <c r="N289" s="122">
        <f t="shared" ca="1" si="122"/>
        <v>0.7692742059829214</v>
      </c>
      <c r="O289" s="122">
        <f t="shared" ca="1" si="122"/>
        <v>0.39727554260023612</v>
      </c>
      <c r="P289" s="122">
        <f t="shared" ca="1" si="122"/>
        <v>2.153461260884483E-2</v>
      </c>
      <c r="Q289" s="122">
        <f t="shared" ca="1" si="122"/>
        <v>0</v>
      </c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>
        <f t="shared" ref="I290:Q291" si="123">I280/I$284</f>
        <v>5.5555555555555554</v>
      </c>
      <c r="J290" s="123">
        <f t="shared" ca="1" si="123"/>
        <v>4.9288292374255729</v>
      </c>
      <c r="K290" s="123">
        <f t="shared" ca="1" si="123"/>
        <v>4.2837032290744794</v>
      </c>
      <c r="L290" s="123">
        <f t="shared" ca="1" si="123"/>
        <v>3.6269381645479233</v>
      </c>
      <c r="M290" s="123">
        <f t="shared" ca="1" si="123"/>
        <v>3.1243939821507269</v>
      </c>
      <c r="N290" s="123">
        <f t="shared" ca="1" si="123"/>
        <v>2.655379362094223</v>
      </c>
      <c r="O290" s="123">
        <f t="shared" ca="1" si="123"/>
        <v>2.2108381927072567</v>
      </c>
      <c r="P290" s="123">
        <f t="shared" ca="1" si="123"/>
        <v>1.7653448530963647</v>
      </c>
      <c r="Q290" s="123">
        <f t="shared" ca="1" si="123"/>
        <v>1.3161596674087794</v>
      </c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>
        <f t="shared" si="123"/>
        <v>6.666666666666667</v>
      </c>
      <c r="J291" s="124">
        <f t="shared" ca="1" si="123"/>
        <v>6.080969815153618</v>
      </c>
      <c r="K291" s="124">
        <f t="shared" ca="1" si="123"/>
        <v>5.4671177344998565</v>
      </c>
      <c r="L291" s="124">
        <f t="shared" ca="1" si="123"/>
        <v>4.8311153411965719</v>
      </c>
      <c r="M291" s="124">
        <f t="shared" ca="1" si="123"/>
        <v>4.2604101865362445</v>
      </c>
      <c r="N291" s="124">
        <f t="shared" ca="1" si="123"/>
        <v>3.7372995567470966</v>
      </c>
      <c r="O291" s="124">
        <f t="shared" ca="1" si="123"/>
        <v>3.2511460721811729</v>
      </c>
      <c r="P291" s="124">
        <f t="shared" ca="1" si="123"/>
        <v>2.7656408910520542</v>
      </c>
      <c r="Q291" s="124">
        <f t="shared" ca="1" si="123"/>
        <v>2.2779827808277116</v>
      </c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22">
        <f ca="1">I284/I285</f>
        <v>3.5819396665768575</v>
      </c>
      <c r="J294" s="122">
        <f t="shared" ref="J294:Q294" ca="1" si="124">J284/J285</f>
        <v>3.7610366499057006</v>
      </c>
      <c r="K294" s="122">
        <f t="shared" ca="1" si="124"/>
        <v>3.9718643131214084</v>
      </c>
      <c r="L294" s="122">
        <f t="shared" ca="1" si="124"/>
        <v>4.396950866862432</v>
      </c>
      <c r="M294" s="122">
        <f t="shared" ca="1" si="124"/>
        <v>3.2804096342839979</v>
      </c>
      <c r="N294" s="122">
        <f t="shared" ca="1" si="124"/>
        <v>3.5965914310592098</v>
      </c>
      <c r="O294" s="122">
        <f t="shared" ca="1" si="124"/>
        <v>3.9634487413167232</v>
      </c>
      <c r="P294" s="122">
        <f t="shared" ca="1" si="124"/>
        <v>4.506323606516256</v>
      </c>
      <c r="Q294" s="122">
        <f t="shared" ca="1" si="124"/>
        <v>5.2704830761024839</v>
      </c>
    </row>
    <row r="295" spans="1:24" x14ac:dyDescent="0.2">
      <c r="B295" s="3" t="s">
        <v>177</v>
      </c>
      <c r="I295" s="124">
        <f ca="1">(I284-I286)/I285</f>
        <v>2.905351062890118</v>
      </c>
      <c r="J295" s="124">
        <f t="shared" ref="J295:Q295" ca="1" si="125">(J284-J286)/J285</f>
        <v>3.0506186160346238</v>
      </c>
      <c r="K295" s="124">
        <f t="shared" ca="1" si="125"/>
        <v>3.2216232761984753</v>
      </c>
      <c r="L295" s="124">
        <f t="shared" ca="1" si="125"/>
        <v>3.5664157031217507</v>
      </c>
      <c r="M295" s="124">
        <f t="shared" ca="1" si="125"/>
        <v>2.6607767033636871</v>
      </c>
      <c r="N295" s="124">
        <f t="shared" ca="1" si="125"/>
        <v>2.9172352718591368</v>
      </c>
      <c r="O295" s="124">
        <f t="shared" ca="1" si="125"/>
        <v>3.214797312401342</v>
      </c>
      <c r="P295" s="124">
        <f t="shared" ca="1" si="125"/>
        <v>3.6551291475076293</v>
      </c>
      <c r="Q295" s="124">
        <f t="shared" ca="1" si="125"/>
        <v>4.2749473839497929</v>
      </c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:Q303" si="126">I$116</f>
        <v>42735</v>
      </c>
      <c r="J303" s="54">
        <f t="shared" si="126"/>
        <v>43100</v>
      </c>
      <c r="K303" s="54">
        <f t="shared" si="126"/>
        <v>43465</v>
      </c>
      <c r="L303" s="54">
        <f t="shared" si="126"/>
        <v>43830</v>
      </c>
      <c r="M303" s="54">
        <f t="shared" si="126"/>
        <v>44196</v>
      </c>
      <c r="N303" s="54">
        <f t="shared" si="126"/>
        <v>44561</v>
      </c>
      <c r="O303" s="54">
        <f t="shared" si="126"/>
        <v>44926</v>
      </c>
      <c r="P303" s="54">
        <f t="shared" si="126"/>
        <v>45291</v>
      </c>
      <c r="Q303" s="54">
        <f t="shared" si="126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6"/>
      <c r="J306" s="126">
        <f t="shared" ref="J306:Q306" si="127">J284</f>
        <v>94.5</v>
      </c>
      <c r="K306" s="126">
        <f t="shared" si="127"/>
        <v>100.17</v>
      </c>
      <c r="L306" s="126">
        <f t="shared" si="127"/>
        <v>107.18190000000001</v>
      </c>
      <c r="M306" s="126">
        <f t="shared" si="127"/>
        <v>113.61281400000001</v>
      </c>
      <c r="N306" s="126">
        <f t="shared" si="127"/>
        <v>119.29345470000001</v>
      </c>
      <c r="O306" s="126">
        <f t="shared" si="127"/>
        <v>124.06519288800001</v>
      </c>
      <c r="P306" s="126">
        <f t="shared" si="127"/>
        <v>129.02780060352001</v>
      </c>
      <c r="Q306" s="126">
        <f t="shared" si="127"/>
        <v>134.18891262766081</v>
      </c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82"/>
      <c r="J308" s="82">
        <f t="shared" ref="J308:Q308" ca="1" si="128">J281</f>
        <v>574.65164753201691</v>
      </c>
      <c r="K308" s="82">
        <f t="shared" ca="1" si="128"/>
        <v>547.64118346485066</v>
      </c>
      <c r="L308" s="82">
        <f t="shared" ca="1" si="128"/>
        <v>517.80812138859687</v>
      </c>
      <c r="M308" s="82">
        <f t="shared" ca="1" si="128"/>
        <v>484.03719008664768</v>
      </c>
      <c r="N308" s="82">
        <f t="shared" ca="1" si="128"/>
        <v>445.83537537313987</v>
      </c>
      <c r="O308" s="82">
        <f t="shared" ca="1" si="128"/>
        <v>403.35406455222085</v>
      </c>
      <c r="P308" s="82">
        <f t="shared" ca="1" si="128"/>
        <v>356.84456143160583</v>
      </c>
      <c r="Q308" s="82">
        <f t="shared" ca="1" si="128"/>
        <v>305.68003234380558</v>
      </c>
    </row>
    <row r="309" spans="2:17" x14ac:dyDescent="0.2">
      <c r="B309" s="20" t="s">
        <v>178</v>
      </c>
      <c r="J309" s="50">
        <f ca="1">-J119</f>
        <v>-5</v>
      </c>
      <c r="K309" s="50">
        <f t="shared" ref="K309:Q309" ca="1" si="129">-K119</f>
        <v>-5</v>
      </c>
      <c r="L309" s="50">
        <f t="shared" ca="1" si="129"/>
        <v>-5</v>
      </c>
      <c r="M309" s="50">
        <f t="shared" ca="1" si="129"/>
        <v>-5</v>
      </c>
      <c r="N309" s="50">
        <f t="shared" ca="1" si="129"/>
        <v>-5</v>
      </c>
      <c r="O309" s="50">
        <f t="shared" ca="1" si="129"/>
        <v>-5</v>
      </c>
      <c r="P309" s="50">
        <f t="shared" ca="1" si="129"/>
        <v>-5</v>
      </c>
      <c r="Q309" s="50">
        <f t="shared" ca="1" si="129"/>
        <v>-5</v>
      </c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>
        <f ca="1">SUM(J308:J309)</f>
        <v>569.65164753201691</v>
      </c>
      <c r="K310" s="51">
        <f t="shared" ref="K310:Q310" ca="1" si="130">SUM(K308:K309)</f>
        <v>542.64118346485066</v>
      </c>
      <c r="L310" s="51">
        <f t="shared" ca="1" si="130"/>
        <v>512.80812138859687</v>
      </c>
      <c r="M310" s="51">
        <f t="shared" ca="1" si="130"/>
        <v>479.03719008664768</v>
      </c>
      <c r="N310" s="51">
        <f t="shared" ca="1" si="130"/>
        <v>440.83537537313987</v>
      </c>
      <c r="O310" s="51">
        <f t="shared" ca="1" si="130"/>
        <v>398.35406455222085</v>
      </c>
      <c r="P310" s="51">
        <f t="shared" ca="1" si="130"/>
        <v>351.84456143160583</v>
      </c>
      <c r="Q310" s="51">
        <f t="shared" ca="1" si="130"/>
        <v>300.68003234380558</v>
      </c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>
        <f>J$306*$E316</f>
        <v>661.5</v>
      </c>
      <c r="K316" s="82">
        <f t="shared" ref="K316:Q324" si="131">K$306*$E316</f>
        <v>701.19</v>
      </c>
      <c r="L316" s="82">
        <f t="shared" si="131"/>
        <v>750.27330000000006</v>
      </c>
      <c r="M316" s="82">
        <f t="shared" si="131"/>
        <v>795.28969800000004</v>
      </c>
      <c r="N316" s="82">
        <f t="shared" si="131"/>
        <v>835.05418290000011</v>
      </c>
      <c r="O316" s="82">
        <f t="shared" si="131"/>
        <v>868.45635021600015</v>
      </c>
      <c r="P316" s="82">
        <f t="shared" si="131"/>
        <v>903.19460422463999</v>
      </c>
      <c r="Q316" s="82">
        <f t="shared" si="131"/>
        <v>939.32238839362572</v>
      </c>
    </row>
    <row r="317" spans="2:17" x14ac:dyDescent="0.2">
      <c r="E317" s="127">
        <f>E318-0.5</f>
        <v>7.5</v>
      </c>
      <c r="F317" s="16"/>
      <c r="G317" s="16"/>
      <c r="H317" s="16"/>
      <c r="I317" s="16"/>
      <c r="J317" s="72">
        <f t="shared" ref="J317:J324" si="132">J$306*$E317</f>
        <v>708.75</v>
      </c>
      <c r="K317" s="72">
        <f t="shared" si="131"/>
        <v>751.27499999999998</v>
      </c>
      <c r="L317" s="72">
        <f t="shared" si="131"/>
        <v>803.86425000000008</v>
      </c>
      <c r="M317" s="72">
        <f t="shared" si="131"/>
        <v>852.09610500000008</v>
      </c>
      <c r="N317" s="72">
        <f t="shared" si="131"/>
        <v>894.70091025000011</v>
      </c>
      <c r="O317" s="72">
        <f t="shared" si="131"/>
        <v>930.48894666000012</v>
      </c>
      <c r="P317" s="72">
        <f t="shared" si="131"/>
        <v>967.70850452640002</v>
      </c>
      <c r="Q317" s="72">
        <f t="shared" si="131"/>
        <v>1006.4168447074561</v>
      </c>
    </row>
    <row r="318" spans="2:17" x14ac:dyDescent="0.2">
      <c r="E318" s="127">
        <f>E319-0.5</f>
        <v>8</v>
      </c>
      <c r="F318" s="16"/>
      <c r="G318" s="16"/>
      <c r="H318" s="16"/>
      <c r="I318" s="16"/>
      <c r="J318" s="72">
        <f t="shared" si="132"/>
        <v>756</v>
      </c>
      <c r="K318" s="72">
        <f t="shared" si="131"/>
        <v>801.36</v>
      </c>
      <c r="L318" s="72">
        <f t="shared" si="131"/>
        <v>857.4552000000001</v>
      </c>
      <c r="M318" s="72">
        <f t="shared" si="131"/>
        <v>908.90251200000012</v>
      </c>
      <c r="N318" s="72">
        <f t="shared" si="131"/>
        <v>954.3476376000001</v>
      </c>
      <c r="O318" s="72">
        <f t="shared" si="131"/>
        <v>992.5215431040001</v>
      </c>
      <c r="P318" s="72">
        <f t="shared" si="131"/>
        <v>1032.2224048281601</v>
      </c>
      <c r="Q318" s="72">
        <f t="shared" si="131"/>
        <v>1073.5113010212865</v>
      </c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>
        <f t="shared" si="132"/>
        <v>803.25</v>
      </c>
      <c r="K319" s="72">
        <f t="shared" si="131"/>
        <v>851.44500000000005</v>
      </c>
      <c r="L319" s="72">
        <f t="shared" si="131"/>
        <v>911.04615000000013</v>
      </c>
      <c r="M319" s="72">
        <f t="shared" si="131"/>
        <v>965.70891900000015</v>
      </c>
      <c r="N319" s="72">
        <f t="shared" si="131"/>
        <v>1013.9943649500001</v>
      </c>
      <c r="O319" s="72">
        <f t="shared" si="131"/>
        <v>1054.5541395480002</v>
      </c>
      <c r="P319" s="72">
        <f t="shared" si="131"/>
        <v>1096.7363051299201</v>
      </c>
      <c r="Q319" s="72">
        <f t="shared" si="131"/>
        <v>1140.605757335117</v>
      </c>
    </row>
    <row r="320" spans="2:17" x14ac:dyDescent="0.2">
      <c r="E320" s="128">
        <f>$M$10</f>
        <v>9</v>
      </c>
      <c r="F320" s="129"/>
      <c r="G320" s="129"/>
      <c r="H320" s="129"/>
      <c r="I320" s="129"/>
      <c r="J320" s="130">
        <f t="shared" si="132"/>
        <v>850.5</v>
      </c>
      <c r="K320" s="130">
        <f t="shared" si="131"/>
        <v>901.53</v>
      </c>
      <c r="L320" s="130">
        <f t="shared" si="131"/>
        <v>964.63710000000015</v>
      </c>
      <c r="M320" s="130">
        <f t="shared" si="131"/>
        <v>1022.5153260000002</v>
      </c>
      <c r="N320" s="130">
        <f t="shared" si="131"/>
        <v>1073.6410923000001</v>
      </c>
      <c r="O320" s="130">
        <f t="shared" si="131"/>
        <v>1116.5867359920001</v>
      </c>
      <c r="P320" s="130">
        <f t="shared" si="131"/>
        <v>1161.2502054316801</v>
      </c>
      <c r="Q320" s="130">
        <f t="shared" si="131"/>
        <v>1207.7002136489473</v>
      </c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>
        <f t="shared" si="132"/>
        <v>897.75</v>
      </c>
      <c r="K321" s="72">
        <f t="shared" si="131"/>
        <v>951.61500000000001</v>
      </c>
      <c r="L321" s="72">
        <f t="shared" si="131"/>
        <v>1018.2280500000002</v>
      </c>
      <c r="M321" s="72">
        <f t="shared" si="131"/>
        <v>1079.3217330000002</v>
      </c>
      <c r="N321" s="72">
        <f t="shared" si="131"/>
        <v>1133.2878196500001</v>
      </c>
      <c r="O321" s="72">
        <f t="shared" si="131"/>
        <v>1178.6193324360001</v>
      </c>
      <c r="P321" s="72">
        <f t="shared" si="131"/>
        <v>1225.7641057334401</v>
      </c>
      <c r="Q321" s="72">
        <f t="shared" si="131"/>
        <v>1274.7946699627778</v>
      </c>
    </row>
    <row r="322" spans="2:17" x14ac:dyDescent="0.2">
      <c r="E322" s="127">
        <f>E321+0.5</f>
        <v>10</v>
      </c>
      <c r="F322" s="16"/>
      <c r="G322" s="16"/>
      <c r="H322" s="16"/>
      <c r="I322" s="16"/>
      <c r="J322" s="72">
        <f t="shared" si="132"/>
        <v>945</v>
      </c>
      <c r="K322" s="72">
        <f t="shared" si="131"/>
        <v>1001.7</v>
      </c>
      <c r="L322" s="72">
        <f t="shared" si="131"/>
        <v>1071.8190000000002</v>
      </c>
      <c r="M322" s="72">
        <f t="shared" si="131"/>
        <v>1136.1281400000003</v>
      </c>
      <c r="N322" s="72">
        <f t="shared" si="131"/>
        <v>1192.9345470000001</v>
      </c>
      <c r="O322" s="72">
        <f t="shared" si="131"/>
        <v>1240.65192888</v>
      </c>
      <c r="P322" s="72">
        <f t="shared" si="131"/>
        <v>1290.2780060352002</v>
      </c>
      <c r="Q322" s="72">
        <f t="shared" si="131"/>
        <v>1341.8891262766081</v>
      </c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>
        <f t="shared" si="132"/>
        <v>992.25</v>
      </c>
      <c r="K323" s="72">
        <f t="shared" si="131"/>
        <v>1051.7850000000001</v>
      </c>
      <c r="L323" s="72">
        <f t="shared" si="131"/>
        <v>1125.4099500000002</v>
      </c>
      <c r="M323" s="72">
        <f t="shared" si="131"/>
        <v>1192.9345470000001</v>
      </c>
      <c r="N323" s="72">
        <f t="shared" si="131"/>
        <v>1252.5812743500001</v>
      </c>
      <c r="O323" s="72">
        <f t="shared" si="131"/>
        <v>1302.6845253240001</v>
      </c>
      <c r="P323" s="72">
        <f t="shared" si="131"/>
        <v>1354.79190633696</v>
      </c>
      <c r="Q323" s="72">
        <f t="shared" si="131"/>
        <v>1408.9835825904386</v>
      </c>
    </row>
    <row r="324" spans="2:17" x14ac:dyDescent="0.2">
      <c r="E324" s="127">
        <f>E323+0.5</f>
        <v>11</v>
      </c>
      <c r="F324" s="17"/>
      <c r="G324" s="17"/>
      <c r="H324" s="17"/>
      <c r="I324" s="17"/>
      <c r="J324" s="73">
        <f t="shared" si="132"/>
        <v>1039.5</v>
      </c>
      <c r="K324" s="73">
        <f t="shared" si="131"/>
        <v>1101.8700000000001</v>
      </c>
      <c r="L324" s="73">
        <f t="shared" si="131"/>
        <v>1179.0009000000002</v>
      </c>
      <c r="M324" s="73">
        <f t="shared" si="131"/>
        <v>1249.7409540000001</v>
      </c>
      <c r="N324" s="73">
        <f t="shared" si="131"/>
        <v>1312.2280017</v>
      </c>
      <c r="O324" s="73">
        <f t="shared" si="131"/>
        <v>1364.7171217680002</v>
      </c>
      <c r="P324" s="73">
        <f t="shared" si="131"/>
        <v>1419.30580663872</v>
      </c>
      <c r="Q324" s="73">
        <f t="shared" si="131"/>
        <v>1476.0780389042689</v>
      </c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>
        <f ca="1">J316-J$310</f>
        <v>91.848352467983091</v>
      </c>
      <c r="K330" s="82">
        <f t="shared" ref="K330:Q330" ca="1" si="133">K316-K$310</f>
        <v>158.5488165351494</v>
      </c>
      <c r="L330" s="82">
        <f t="shared" ca="1" si="133"/>
        <v>237.46517861140319</v>
      </c>
      <c r="M330" s="82">
        <f t="shared" ca="1" si="133"/>
        <v>316.25250791335236</v>
      </c>
      <c r="N330" s="82">
        <f t="shared" ca="1" si="133"/>
        <v>394.21880752686025</v>
      </c>
      <c r="O330" s="82">
        <f t="shared" ca="1" si="133"/>
        <v>470.1022856637793</v>
      </c>
      <c r="P330" s="82">
        <f t="shared" ca="1" si="133"/>
        <v>551.35004279303416</v>
      </c>
      <c r="Q330" s="82">
        <f t="shared" ca="1" si="133"/>
        <v>638.64235604982014</v>
      </c>
    </row>
    <row r="331" spans="2:17" x14ac:dyDescent="0.2">
      <c r="E331" s="127">
        <v>7.5</v>
      </c>
      <c r="F331" s="16"/>
      <c r="G331" s="16"/>
      <c r="H331" s="16"/>
      <c r="I331" s="16"/>
      <c r="J331" s="72">
        <f t="shared" ref="J331:Q331" ca="1" si="134">J317-J$310</f>
        <v>139.09835246798309</v>
      </c>
      <c r="K331" s="72">
        <f t="shared" ca="1" si="134"/>
        <v>208.63381653514932</v>
      </c>
      <c r="L331" s="72">
        <f t="shared" ca="1" si="134"/>
        <v>291.05612861140321</v>
      </c>
      <c r="M331" s="72">
        <f t="shared" ca="1" si="134"/>
        <v>373.0589149133524</v>
      </c>
      <c r="N331" s="72">
        <f t="shared" ca="1" si="134"/>
        <v>453.86553487686024</v>
      </c>
      <c r="O331" s="72">
        <f t="shared" ca="1" si="134"/>
        <v>532.13488210777928</v>
      </c>
      <c r="P331" s="72">
        <f t="shared" ca="1" si="134"/>
        <v>615.86394309479419</v>
      </c>
      <c r="Q331" s="72">
        <f t="shared" ca="1" si="134"/>
        <v>705.73681236365053</v>
      </c>
    </row>
    <row r="332" spans="2:17" x14ac:dyDescent="0.2">
      <c r="E332" s="127">
        <v>8</v>
      </c>
      <c r="F332" s="16"/>
      <c r="G332" s="16"/>
      <c r="H332" s="16"/>
      <c r="I332" s="16"/>
      <c r="J332" s="72">
        <f t="shared" ref="J332:Q332" ca="1" si="135">J318-J$310</f>
        <v>186.34835246798309</v>
      </c>
      <c r="K332" s="72">
        <f t="shared" ca="1" si="135"/>
        <v>258.71881653514936</v>
      </c>
      <c r="L332" s="72">
        <f t="shared" ca="1" si="135"/>
        <v>344.64707861140323</v>
      </c>
      <c r="M332" s="72">
        <f t="shared" ca="1" si="135"/>
        <v>429.86532191335243</v>
      </c>
      <c r="N332" s="72">
        <f t="shared" ca="1" si="135"/>
        <v>513.51226222686023</v>
      </c>
      <c r="O332" s="72">
        <f t="shared" ca="1" si="135"/>
        <v>594.16747855177925</v>
      </c>
      <c r="P332" s="72">
        <f t="shared" ca="1" si="135"/>
        <v>680.37784339655423</v>
      </c>
      <c r="Q332" s="72">
        <f t="shared" ca="1" si="135"/>
        <v>772.83126867748092</v>
      </c>
    </row>
    <row r="333" spans="2:17" x14ac:dyDescent="0.2">
      <c r="E333" s="127">
        <v>8.5</v>
      </c>
      <c r="F333" s="16"/>
      <c r="G333" s="16"/>
      <c r="H333" s="16"/>
      <c r="I333" s="16"/>
      <c r="J333" s="72">
        <f t="shared" ref="J333:Q333" ca="1" si="136">J319-J$310</f>
        <v>233.59835246798309</v>
      </c>
      <c r="K333" s="72">
        <f t="shared" ca="1" si="136"/>
        <v>308.80381653514939</v>
      </c>
      <c r="L333" s="72">
        <f t="shared" ca="1" si="136"/>
        <v>398.23802861140325</v>
      </c>
      <c r="M333" s="72">
        <f t="shared" ca="1" si="136"/>
        <v>486.67172891335247</v>
      </c>
      <c r="N333" s="72">
        <f t="shared" ca="1" si="136"/>
        <v>573.15898957686022</v>
      </c>
      <c r="O333" s="72">
        <f t="shared" ca="1" si="136"/>
        <v>656.20007499577935</v>
      </c>
      <c r="P333" s="72">
        <f t="shared" ca="1" si="136"/>
        <v>744.89174369831426</v>
      </c>
      <c r="Q333" s="72">
        <f t="shared" ca="1" si="136"/>
        <v>839.92572499131143</v>
      </c>
    </row>
    <row r="334" spans="2:17" x14ac:dyDescent="0.2">
      <c r="E334" s="128">
        <v>9</v>
      </c>
      <c r="F334" s="129"/>
      <c r="G334" s="129"/>
      <c r="H334" s="129"/>
      <c r="I334" s="129"/>
      <c r="J334" s="130">
        <f t="shared" ref="J334:Q334" ca="1" si="137">J320-J$310</f>
        <v>280.84835246798309</v>
      </c>
      <c r="K334" s="130">
        <f t="shared" ca="1" si="137"/>
        <v>358.88881653514932</v>
      </c>
      <c r="L334" s="130">
        <f t="shared" ca="1" si="137"/>
        <v>451.82897861140327</v>
      </c>
      <c r="M334" s="130">
        <f t="shared" ca="1" si="137"/>
        <v>543.4781359133525</v>
      </c>
      <c r="N334" s="130">
        <f t="shared" ca="1" si="137"/>
        <v>632.80571692686021</v>
      </c>
      <c r="O334" s="130">
        <f t="shared" ca="1" si="137"/>
        <v>718.23267143977921</v>
      </c>
      <c r="P334" s="130">
        <f t="shared" ca="1" si="137"/>
        <v>809.40564400007429</v>
      </c>
      <c r="Q334" s="130">
        <f t="shared" ca="1" si="137"/>
        <v>907.0201813051417</v>
      </c>
    </row>
    <row r="335" spans="2:17" x14ac:dyDescent="0.2">
      <c r="E335" s="127">
        <v>9.5</v>
      </c>
      <c r="F335" s="16"/>
      <c r="G335" s="16"/>
      <c r="H335" s="16"/>
      <c r="I335" s="16"/>
      <c r="J335" s="72">
        <f t="shared" ref="J335:Q335" ca="1" si="138">J321-J$310</f>
        <v>328.09835246798309</v>
      </c>
      <c r="K335" s="72">
        <f t="shared" ca="1" si="138"/>
        <v>408.97381653514935</v>
      </c>
      <c r="L335" s="72">
        <f t="shared" ca="1" si="138"/>
        <v>505.41992861140329</v>
      </c>
      <c r="M335" s="72">
        <f t="shared" ca="1" si="138"/>
        <v>600.28454291335254</v>
      </c>
      <c r="N335" s="72">
        <f t="shared" ca="1" si="138"/>
        <v>692.45244427686021</v>
      </c>
      <c r="O335" s="72">
        <f t="shared" ca="1" si="138"/>
        <v>780.2652678837793</v>
      </c>
      <c r="P335" s="72">
        <f t="shared" ca="1" si="138"/>
        <v>873.91954430183432</v>
      </c>
      <c r="Q335" s="72">
        <f t="shared" ca="1" si="138"/>
        <v>974.11463761897221</v>
      </c>
    </row>
    <row r="336" spans="2:17" x14ac:dyDescent="0.2">
      <c r="E336" s="127">
        <v>10</v>
      </c>
      <c r="F336" s="16"/>
      <c r="G336" s="16"/>
      <c r="H336" s="16"/>
      <c r="I336" s="16"/>
      <c r="J336" s="72">
        <f t="shared" ref="J336:Q336" ca="1" si="139">J322-J$310</f>
        <v>375.34835246798309</v>
      </c>
      <c r="K336" s="72">
        <f t="shared" ca="1" si="139"/>
        <v>459.05881653514939</v>
      </c>
      <c r="L336" s="72">
        <f t="shared" ca="1" si="139"/>
        <v>559.01087861140331</v>
      </c>
      <c r="M336" s="72">
        <f t="shared" ca="1" si="139"/>
        <v>657.09094991335257</v>
      </c>
      <c r="N336" s="72">
        <f t="shared" ca="1" si="139"/>
        <v>752.0991716268602</v>
      </c>
      <c r="O336" s="72">
        <f t="shared" ca="1" si="139"/>
        <v>842.29786432777917</v>
      </c>
      <c r="P336" s="72">
        <f t="shared" ca="1" si="139"/>
        <v>938.43344460359435</v>
      </c>
      <c r="Q336" s="72">
        <f t="shared" ca="1" si="139"/>
        <v>1041.2090939328025</v>
      </c>
    </row>
    <row r="337" spans="2:17" x14ac:dyDescent="0.2">
      <c r="E337" s="127">
        <v>10.5</v>
      </c>
      <c r="F337" s="16"/>
      <c r="G337" s="16"/>
      <c r="H337" s="16"/>
      <c r="I337" s="16"/>
      <c r="J337" s="72">
        <f t="shared" ref="J337:Q337" ca="1" si="140">J323-J$310</f>
        <v>422.59835246798309</v>
      </c>
      <c r="K337" s="72">
        <f t="shared" ca="1" si="140"/>
        <v>509.14381653514943</v>
      </c>
      <c r="L337" s="72">
        <f t="shared" ca="1" si="140"/>
        <v>612.60182861140333</v>
      </c>
      <c r="M337" s="72">
        <f t="shared" ca="1" si="140"/>
        <v>713.89735691335238</v>
      </c>
      <c r="N337" s="72">
        <f t="shared" ca="1" si="140"/>
        <v>811.74589897686019</v>
      </c>
      <c r="O337" s="72">
        <f t="shared" ca="1" si="140"/>
        <v>904.33046077177926</v>
      </c>
      <c r="P337" s="72">
        <f t="shared" ca="1" si="140"/>
        <v>1002.9473449053542</v>
      </c>
      <c r="Q337" s="72">
        <f t="shared" ca="1" si="140"/>
        <v>1108.303550246633</v>
      </c>
    </row>
    <row r="338" spans="2:17" x14ac:dyDescent="0.2">
      <c r="E338" s="127">
        <v>11</v>
      </c>
      <c r="F338" s="17"/>
      <c r="G338" s="17"/>
      <c r="H338" s="17"/>
      <c r="I338" s="17"/>
      <c r="J338" s="73">
        <f t="shared" ref="J338:Q338" ca="1" si="141">J324-J$310</f>
        <v>469.84835246798309</v>
      </c>
      <c r="K338" s="73">
        <f t="shared" ca="1" si="141"/>
        <v>559.22881653514946</v>
      </c>
      <c r="L338" s="73">
        <f t="shared" ca="1" si="141"/>
        <v>666.19277861140336</v>
      </c>
      <c r="M338" s="73">
        <f t="shared" ca="1" si="141"/>
        <v>770.70376391335242</v>
      </c>
      <c r="N338" s="73">
        <f t="shared" ca="1" si="141"/>
        <v>871.39262632686018</v>
      </c>
      <c r="O338" s="73">
        <f t="shared" ca="1" si="141"/>
        <v>966.36305721577935</v>
      </c>
      <c r="P338" s="73">
        <f t="shared" ca="1" si="141"/>
        <v>1067.4612452071142</v>
      </c>
      <c r="Q338" s="73">
        <f t="shared" ca="1" si="141"/>
        <v>1175.3980065604633</v>
      </c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>
        <f>SUM(G15:G16)</f>
        <v>235.9375</v>
      </c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>
        <f ca="1">J330/$H$342</f>
        <v>0.38929103032787538</v>
      </c>
      <c r="K344" s="135">
        <f t="shared" ref="K344:Q344" ca="1" si="142">K330/$H$342</f>
        <v>0.67199498399003721</v>
      </c>
      <c r="L344" s="135">
        <f t="shared" ca="1" si="142"/>
        <v>1.0064749292138944</v>
      </c>
      <c r="M344" s="135">
        <f t="shared" ca="1" si="142"/>
        <v>1.3404079805599041</v>
      </c>
      <c r="N344" s="135">
        <f t="shared" ca="1" si="142"/>
        <v>1.6708611709747718</v>
      </c>
      <c r="O344" s="135">
        <f t="shared" ca="1" si="142"/>
        <v>1.9924865087736341</v>
      </c>
      <c r="P344" s="135">
        <f t="shared" ca="1" si="142"/>
        <v>2.3368478634936549</v>
      </c>
      <c r="Q344" s="135">
        <f t="shared" ca="1" si="142"/>
        <v>2.70682852895288</v>
      </c>
    </row>
    <row r="345" spans="2:17" x14ac:dyDescent="0.2">
      <c r="E345" s="127">
        <v>7.5</v>
      </c>
      <c r="F345" s="16"/>
      <c r="G345" s="16"/>
      <c r="H345" s="16"/>
      <c r="I345" s="16"/>
      <c r="J345" s="132">
        <f t="shared" ref="J345:Q345" ca="1" si="143">J331/$H$342</f>
        <v>0.58955593099012704</v>
      </c>
      <c r="K345" s="132">
        <f t="shared" ca="1" si="143"/>
        <v>0.88427577869202356</v>
      </c>
      <c r="L345" s="132">
        <f t="shared" ca="1" si="143"/>
        <v>1.2336153795450202</v>
      </c>
      <c r="M345" s="132">
        <f t="shared" ca="1" si="143"/>
        <v>1.5811768579108976</v>
      </c>
      <c r="N345" s="132">
        <f t="shared" ca="1" si="143"/>
        <v>1.9236684921933149</v>
      </c>
      <c r="O345" s="132">
        <f t="shared" ca="1" si="143"/>
        <v>2.2554061228409186</v>
      </c>
      <c r="P345" s="132">
        <f t="shared" ca="1" si="143"/>
        <v>2.6102842621236308</v>
      </c>
      <c r="Q345" s="132">
        <f t="shared" ca="1" si="143"/>
        <v>2.991202383528055</v>
      </c>
    </row>
    <row r="346" spans="2:17" x14ac:dyDescent="0.2">
      <c r="E346" s="127">
        <v>8</v>
      </c>
      <c r="F346" s="16"/>
      <c r="G346" s="16"/>
      <c r="H346" s="16"/>
      <c r="I346" s="16"/>
      <c r="J346" s="132">
        <f t="shared" ref="J346:Q346" ca="1" si="144">J332/$H$342</f>
        <v>0.78982083165237871</v>
      </c>
      <c r="K346" s="132">
        <f t="shared" ca="1" si="144"/>
        <v>1.0965565733940106</v>
      </c>
      <c r="L346" s="132">
        <f t="shared" ca="1" si="144"/>
        <v>1.4607558298761461</v>
      </c>
      <c r="M346" s="132">
        <f t="shared" ca="1" si="144"/>
        <v>1.8219457352618911</v>
      </c>
      <c r="N346" s="132">
        <f t="shared" ca="1" si="144"/>
        <v>2.1764758134118578</v>
      </c>
      <c r="O346" s="132">
        <f t="shared" ca="1" si="144"/>
        <v>2.5183257369082033</v>
      </c>
      <c r="P346" s="132">
        <f t="shared" ca="1" si="144"/>
        <v>2.8837206607536072</v>
      </c>
      <c r="Q346" s="132">
        <f t="shared" ca="1" si="144"/>
        <v>3.2755762381032305</v>
      </c>
    </row>
    <row r="347" spans="2:17" x14ac:dyDescent="0.2">
      <c r="E347" s="127">
        <v>8.5</v>
      </c>
      <c r="F347" s="16"/>
      <c r="G347" s="16"/>
      <c r="H347" s="16"/>
      <c r="I347" s="16"/>
      <c r="J347" s="132">
        <f t="shared" ref="J347:Q347" ca="1" si="145">J333/$H$342</f>
        <v>0.99008573231463037</v>
      </c>
      <c r="K347" s="132">
        <f t="shared" ca="1" si="145"/>
        <v>1.3088373680959975</v>
      </c>
      <c r="L347" s="132">
        <f t="shared" ca="1" si="145"/>
        <v>1.6878962802072721</v>
      </c>
      <c r="M347" s="132">
        <f t="shared" ca="1" si="145"/>
        <v>2.0627146126128846</v>
      </c>
      <c r="N347" s="132">
        <f t="shared" ca="1" si="145"/>
        <v>2.4292831346304009</v>
      </c>
      <c r="O347" s="132">
        <f t="shared" ca="1" si="145"/>
        <v>2.7812453509754884</v>
      </c>
      <c r="P347" s="132">
        <f t="shared" ca="1" si="145"/>
        <v>3.1571570593835836</v>
      </c>
      <c r="Q347" s="132">
        <f t="shared" ca="1" si="145"/>
        <v>3.559950092678406</v>
      </c>
    </row>
    <row r="348" spans="2:17" x14ac:dyDescent="0.2">
      <c r="E348" s="128">
        <v>9</v>
      </c>
      <c r="F348" s="129"/>
      <c r="G348" s="129"/>
      <c r="H348" s="129"/>
      <c r="I348" s="129"/>
      <c r="J348" s="133">
        <f t="shared" ref="J348:Q348" ca="1" si="146">J334/$H$342</f>
        <v>1.190350632976882</v>
      </c>
      <c r="K348" s="133">
        <f t="shared" ca="1" si="146"/>
        <v>1.521118162797984</v>
      </c>
      <c r="L348" s="133">
        <f t="shared" ca="1" si="146"/>
        <v>1.915036730538398</v>
      </c>
      <c r="M348" s="133">
        <f t="shared" ca="1" si="146"/>
        <v>2.3034834899638783</v>
      </c>
      <c r="N348" s="133">
        <f t="shared" ca="1" si="146"/>
        <v>2.682090455848944</v>
      </c>
      <c r="O348" s="133">
        <f t="shared" ca="1" si="146"/>
        <v>3.0441649650427727</v>
      </c>
      <c r="P348" s="133">
        <f t="shared" ca="1" si="146"/>
        <v>3.43059345801356</v>
      </c>
      <c r="Q348" s="133">
        <f t="shared" ca="1" si="146"/>
        <v>3.8443239472535806</v>
      </c>
    </row>
    <row r="349" spans="2:17" x14ac:dyDescent="0.2">
      <c r="E349" s="127">
        <v>9.5</v>
      </c>
      <c r="F349" s="16"/>
      <c r="G349" s="16"/>
      <c r="H349" s="16"/>
      <c r="I349" s="16"/>
      <c r="J349" s="132">
        <f t="shared" ref="J349:Q349" ca="1" si="147">J335/$H$342</f>
        <v>1.3906155336391337</v>
      </c>
      <c r="K349" s="132">
        <f t="shared" ca="1" si="147"/>
        <v>1.7333989574999709</v>
      </c>
      <c r="L349" s="132">
        <f t="shared" ca="1" si="147"/>
        <v>2.142177180869524</v>
      </c>
      <c r="M349" s="132">
        <f t="shared" ca="1" si="147"/>
        <v>2.5442523673148716</v>
      </c>
      <c r="N349" s="132">
        <f t="shared" ca="1" si="147"/>
        <v>2.9348977770674871</v>
      </c>
      <c r="O349" s="132">
        <f t="shared" ca="1" si="147"/>
        <v>3.3070845791100578</v>
      </c>
      <c r="P349" s="132">
        <f t="shared" ca="1" si="147"/>
        <v>3.7040298566435363</v>
      </c>
      <c r="Q349" s="132">
        <f t="shared" ca="1" si="147"/>
        <v>4.1286978018287561</v>
      </c>
    </row>
    <row r="350" spans="2:17" x14ac:dyDescent="0.2">
      <c r="E350" s="127">
        <v>10</v>
      </c>
      <c r="F350" s="16"/>
      <c r="G350" s="16"/>
      <c r="H350" s="16"/>
      <c r="I350" s="16"/>
      <c r="J350" s="132">
        <f t="shared" ref="J350:Q350" ca="1" si="148">J336/$H$342</f>
        <v>1.5908804343013854</v>
      </c>
      <c r="K350" s="132">
        <f t="shared" ca="1" si="148"/>
        <v>1.9456797522019578</v>
      </c>
      <c r="L350" s="132">
        <f t="shared" ca="1" si="148"/>
        <v>2.3693176312006496</v>
      </c>
      <c r="M350" s="132">
        <f t="shared" ca="1" si="148"/>
        <v>2.7850212446658653</v>
      </c>
      <c r="N350" s="132">
        <f t="shared" ca="1" si="148"/>
        <v>3.1877050982860298</v>
      </c>
      <c r="O350" s="132">
        <f t="shared" ca="1" si="148"/>
        <v>3.5700041931773421</v>
      </c>
      <c r="P350" s="132">
        <f t="shared" ca="1" si="148"/>
        <v>3.9774662552735123</v>
      </c>
      <c r="Q350" s="132">
        <f t="shared" ca="1" si="148"/>
        <v>4.4130716564039307</v>
      </c>
    </row>
    <row r="351" spans="2:17" x14ac:dyDescent="0.2">
      <c r="E351" s="127">
        <v>10.5</v>
      </c>
      <c r="F351" s="16"/>
      <c r="G351" s="16"/>
      <c r="H351" s="16"/>
      <c r="I351" s="16"/>
      <c r="J351" s="132">
        <f t="shared" ref="J351:Q351" ca="1" si="149">J337/$H$342</f>
        <v>1.791145334963637</v>
      </c>
      <c r="K351" s="132">
        <f t="shared" ca="1" si="149"/>
        <v>2.1579605469039445</v>
      </c>
      <c r="L351" s="132">
        <f t="shared" ca="1" si="149"/>
        <v>2.5964580815317757</v>
      </c>
      <c r="M351" s="132">
        <f t="shared" ca="1" si="149"/>
        <v>3.0257901220168577</v>
      </c>
      <c r="N351" s="132">
        <f t="shared" ca="1" si="149"/>
        <v>3.4405124195045729</v>
      </c>
      <c r="O351" s="132">
        <f t="shared" ca="1" si="149"/>
        <v>3.8329238072446272</v>
      </c>
      <c r="P351" s="132">
        <f t="shared" ca="1" si="149"/>
        <v>4.2509026539034878</v>
      </c>
      <c r="Q351" s="132">
        <f t="shared" ca="1" si="149"/>
        <v>4.6974455109791071</v>
      </c>
    </row>
    <row r="352" spans="2:17" x14ac:dyDescent="0.2">
      <c r="E352" s="127">
        <v>11</v>
      </c>
      <c r="F352" s="17"/>
      <c r="G352" s="17"/>
      <c r="H352" s="17"/>
      <c r="I352" s="17"/>
      <c r="J352" s="134">
        <f t="shared" ref="J352:Q352" ca="1" si="150">J338/$H$342</f>
        <v>1.9914102356258887</v>
      </c>
      <c r="K352" s="134">
        <f t="shared" ca="1" si="150"/>
        <v>2.3702413416059316</v>
      </c>
      <c r="L352" s="134">
        <f t="shared" ca="1" si="150"/>
        <v>2.8235985318629018</v>
      </c>
      <c r="M352" s="134">
        <f t="shared" ca="1" si="150"/>
        <v>3.2665589993678514</v>
      </c>
      <c r="N352" s="134">
        <f t="shared" ca="1" si="150"/>
        <v>3.693319740723116</v>
      </c>
      <c r="O352" s="134">
        <f t="shared" ca="1" si="150"/>
        <v>4.0958434213119128</v>
      </c>
      <c r="P352" s="134">
        <f t="shared" ca="1" si="150"/>
        <v>4.5243390525334641</v>
      </c>
      <c r="Q352" s="134">
        <f t="shared" ca="1" si="150"/>
        <v>4.9818193655542817</v>
      </c>
    </row>
    <row r="355" spans="2:17" x14ac:dyDescent="0.2">
      <c r="B355" s="22" t="s">
        <v>5</v>
      </c>
    </row>
    <row r="356" spans="2:17" x14ac:dyDescent="0.2">
      <c r="B356" s="8" t="s">
        <v>179</v>
      </c>
      <c r="I356" s="8" t="s">
        <v>188</v>
      </c>
      <c r="J356" s="141">
        <f>YEAR(J303)-YEAR($I$303)</f>
        <v>1</v>
      </c>
      <c r="K356" s="141">
        <f t="shared" ref="K356:Q356" si="151">YEAR(K303)-YEAR($I$303)</f>
        <v>2</v>
      </c>
      <c r="L356" s="141">
        <f t="shared" si="151"/>
        <v>3</v>
      </c>
      <c r="M356" s="141">
        <f t="shared" si="151"/>
        <v>4</v>
      </c>
      <c r="N356" s="141">
        <f t="shared" si="151"/>
        <v>5</v>
      </c>
      <c r="O356" s="141">
        <f t="shared" si="151"/>
        <v>6</v>
      </c>
      <c r="P356" s="141">
        <f t="shared" si="151"/>
        <v>7</v>
      </c>
      <c r="Q356" s="141">
        <f t="shared" si="151"/>
        <v>8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>
        <f ca="1">J344^(1/J$356)-1</f>
        <v>-0.61070896967212462</v>
      </c>
      <c r="K358" s="61">
        <f t="shared" ref="K358:Q358" ca="1" si="152">K344^(1/K$356)-1</f>
        <v>-0.18024699818174672</v>
      </c>
      <c r="L358" s="61">
        <f t="shared" ca="1" si="152"/>
        <v>2.1536681218092824E-3</v>
      </c>
      <c r="M358" s="61">
        <f t="shared" ca="1" si="152"/>
        <v>7.5992517459977593E-2</v>
      </c>
      <c r="N358" s="61">
        <f t="shared" ca="1" si="152"/>
        <v>0.1081232659024487</v>
      </c>
      <c r="O358" s="61">
        <f t="shared" ca="1" si="152"/>
        <v>0.12175814494622483</v>
      </c>
      <c r="P358" s="61">
        <f t="shared" ca="1" si="152"/>
        <v>0.12891564398186905</v>
      </c>
      <c r="Q358" s="61">
        <f t="shared" ca="1" si="152"/>
        <v>0.1325505443274444</v>
      </c>
    </row>
    <row r="359" spans="2:17" x14ac:dyDescent="0.2">
      <c r="E359" s="127">
        <v>7.5</v>
      </c>
      <c r="F359" s="16"/>
      <c r="G359" s="16"/>
      <c r="H359" s="16"/>
      <c r="I359" s="16"/>
      <c r="J359" s="62">
        <f t="shared" ref="J359:Q359" ca="1" si="153">J345^(1/J$356)-1</f>
        <v>-0.41044406900987296</v>
      </c>
      <c r="K359" s="62">
        <f t="shared" ca="1" si="153"/>
        <v>-5.9640611950928846E-2</v>
      </c>
      <c r="L359" s="62">
        <f t="shared" ca="1" si="153"/>
        <v>7.249001703587532E-2</v>
      </c>
      <c r="M359" s="62">
        <f t="shared" ca="1" si="153"/>
        <v>0.12136013430153048</v>
      </c>
      <c r="N359" s="62">
        <f t="shared" ca="1" si="153"/>
        <v>0.13979315984120588</v>
      </c>
      <c r="O359" s="62">
        <f t="shared" ca="1" si="153"/>
        <v>0.1451721891764346</v>
      </c>
      <c r="P359" s="62">
        <f t="shared" ca="1" si="153"/>
        <v>0.14690337113346197</v>
      </c>
      <c r="Q359" s="62">
        <f t="shared" ca="1" si="153"/>
        <v>0.14678162286511975</v>
      </c>
    </row>
    <row r="360" spans="2:17" x14ac:dyDescent="0.2">
      <c r="E360" s="127">
        <v>8</v>
      </c>
      <c r="F360" s="16"/>
      <c r="G360" s="16"/>
      <c r="H360" s="16"/>
      <c r="I360" s="16"/>
      <c r="J360" s="62">
        <f t="shared" ref="J360:Q360" ca="1" si="154">J346^(1/J$356)-1</f>
        <v>-0.21017916834762129</v>
      </c>
      <c r="K360" s="62">
        <f t="shared" ca="1" si="154"/>
        <v>4.7165972228858655E-2</v>
      </c>
      <c r="L360" s="62">
        <f t="shared" ca="1" si="154"/>
        <v>0.13464292489671736</v>
      </c>
      <c r="M360" s="62">
        <f t="shared" ca="1" si="154"/>
        <v>0.16180665394610094</v>
      </c>
      <c r="N360" s="62">
        <f t="shared" ca="1" si="154"/>
        <v>0.16829029512107296</v>
      </c>
      <c r="O360" s="62">
        <f t="shared" ca="1" si="154"/>
        <v>0.16641201339265521</v>
      </c>
      <c r="P360" s="62">
        <f t="shared" ca="1" si="154"/>
        <v>0.16334251101248753</v>
      </c>
      <c r="Q360" s="62">
        <f t="shared" ca="1" si="154"/>
        <v>0.15987440246821305</v>
      </c>
    </row>
    <row r="361" spans="2:17" x14ac:dyDescent="0.2">
      <c r="E361" s="127">
        <v>8.5</v>
      </c>
      <c r="F361" s="16"/>
      <c r="G361" s="16"/>
      <c r="H361" s="16"/>
      <c r="I361" s="16"/>
      <c r="J361" s="62">
        <f t="shared" ref="J361:Q361" ca="1" si="155">J347^(1/J$356)-1</f>
        <v>-9.9142676853696265E-3</v>
      </c>
      <c r="K361" s="62">
        <f t="shared" ca="1" si="155"/>
        <v>0.1440443033798986</v>
      </c>
      <c r="L361" s="62">
        <f t="shared" ca="1" si="155"/>
        <v>0.19064397510701991</v>
      </c>
      <c r="M361" s="62">
        <f t="shared" ca="1" si="155"/>
        <v>0.19842203676838555</v>
      </c>
      <c r="N361" s="62">
        <f t="shared" ca="1" si="155"/>
        <v>0.19425103686380685</v>
      </c>
      <c r="O361" s="62">
        <f t="shared" ca="1" si="155"/>
        <v>0.18587764904733906</v>
      </c>
      <c r="P361" s="62">
        <f t="shared" ca="1" si="155"/>
        <v>0.17849576652367571</v>
      </c>
      <c r="Q361" s="62">
        <f t="shared" ca="1" si="155"/>
        <v>0.17200776403004059</v>
      </c>
    </row>
    <row r="362" spans="2:17" x14ac:dyDescent="0.2">
      <c r="E362" s="128">
        <v>9</v>
      </c>
      <c r="F362" s="129"/>
      <c r="G362" s="129"/>
      <c r="H362" s="129"/>
      <c r="I362" s="129"/>
      <c r="J362" s="136">
        <f t="shared" ref="J362:Q362" ca="1" si="156">J348^(1/J$356)-1</f>
        <v>0.19035063297688204</v>
      </c>
      <c r="K362" s="136">
        <f t="shared" ca="1" si="156"/>
        <v>0.23333619212199563</v>
      </c>
      <c r="L362" s="136">
        <f t="shared" ca="1" si="156"/>
        <v>0.24182110375922217</v>
      </c>
      <c r="M362" s="136">
        <f t="shared" ca="1" si="156"/>
        <v>0.23195906056658866</v>
      </c>
      <c r="N362" s="136">
        <f t="shared" ca="1" si="156"/>
        <v>0.2181329312146314</v>
      </c>
      <c r="O362" s="136">
        <f t="shared" ca="1" si="156"/>
        <v>0.203865671338612</v>
      </c>
      <c r="P362" s="136">
        <f t="shared" ca="1" si="156"/>
        <v>0.19256297581237924</v>
      </c>
      <c r="Q362" s="136">
        <f t="shared" ca="1" si="156"/>
        <v>0.18332079635029697</v>
      </c>
    </row>
    <row r="363" spans="2:17" x14ac:dyDescent="0.2">
      <c r="E363" s="127">
        <v>9.5</v>
      </c>
      <c r="F363" s="16"/>
      <c r="G363" s="16"/>
      <c r="H363" s="16"/>
      <c r="I363" s="16"/>
      <c r="J363" s="62">
        <f t="shared" ref="J363:Q363" ca="1" si="157">J349^(1/J$356)-1</f>
        <v>0.39061553363913371</v>
      </c>
      <c r="K363" s="62">
        <f t="shared" ca="1" si="157"/>
        <v>0.31658609953924799</v>
      </c>
      <c r="L363" s="62">
        <f t="shared" ca="1" si="157"/>
        <v>0.28909561049162935</v>
      </c>
      <c r="M363" s="62">
        <f t="shared" ca="1" si="157"/>
        <v>0.26296131113660426</v>
      </c>
      <c r="N363" s="62">
        <f t="shared" ca="1" si="157"/>
        <v>0.24027673083586065</v>
      </c>
      <c r="O363" s="62">
        <f t="shared" ca="1" si="157"/>
        <v>0.22060239292451289</v>
      </c>
      <c r="P363" s="62">
        <f t="shared" ca="1" si="157"/>
        <v>0.20569986210452118</v>
      </c>
      <c r="Q363" s="62">
        <f t="shared" ca="1" si="157"/>
        <v>0.19392387526597998</v>
      </c>
    </row>
    <row r="364" spans="2:17" x14ac:dyDescent="0.2">
      <c r="E364" s="127">
        <v>10</v>
      </c>
      <c r="F364" s="16"/>
      <c r="G364" s="16"/>
      <c r="H364" s="16"/>
      <c r="I364" s="16"/>
      <c r="J364" s="62">
        <f t="shared" ref="J364:Q364" ca="1" si="158">J350^(1/J$356)-1</f>
        <v>0.59088043430138537</v>
      </c>
      <c r="K364" s="62">
        <f t="shared" ca="1" si="158"/>
        <v>0.39487624978058822</v>
      </c>
      <c r="L364" s="62">
        <f t="shared" ca="1" si="158"/>
        <v>0.33313591551010568</v>
      </c>
      <c r="M364" s="62">
        <f t="shared" ca="1" si="158"/>
        <v>0.29183524179602194</v>
      </c>
      <c r="N364" s="62">
        <f t="shared" ca="1" si="158"/>
        <v>0.26094350041074788</v>
      </c>
      <c r="O364" s="62">
        <f t="shared" ca="1" si="158"/>
        <v>0.23626465925541096</v>
      </c>
      <c r="P364" s="62">
        <f t="shared" ca="1" si="158"/>
        <v>0.21803024371155511</v>
      </c>
      <c r="Q364" s="62">
        <f t="shared" ca="1" si="158"/>
        <v>0.2039061206516668</v>
      </c>
    </row>
    <row r="365" spans="2:17" x14ac:dyDescent="0.2">
      <c r="E365" s="127">
        <v>10.5</v>
      </c>
      <c r="F365" s="16"/>
      <c r="G365" s="16"/>
      <c r="H365" s="16"/>
      <c r="I365" s="16"/>
      <c r="J365" s="62">
        <f t="shared" ref="J365:Q365" ca="1" si="159">J351^(1/J$356)-1</f>
        <v>0.79114533496363704</v>
      </c>
      <c r="K365" s="62">
        <f t="shared" ca="1" si="159"/>
        <v>0.46899984578077625</v>
      </c>
      <c r="L365" s="62">
        <f t="shared" ca="1" si="159"/>
        <v>0.3744441753955976</v>
      </c>
      <c r="M365" s="62">
        <f t="shared" ca="1" si="159"/>
        <v>0.31889341584963682</v>
      </c>
      <c r="N365" s="62">
        <f t="shared" ca="1" si="159"/>
        <v>0.28033797223830303</v>
      </c>
      <c r="O365" s="62">
        <f t="shared" ca="1" si="159"/>
        <v>0.25099343626889814</v>
      </c>
      <c r="P365" s="62">
        <f t="shared" ca="1" si="159"/>
        <v>0.22965427167397778</v>
      </c>
      <c r="Q365" s="62">
        <f t="shared" ca="1" si="159"/>
        <v>0.21334056919188149</v>
      </c>
    </row>
    <row r="366" spans="2:17" x14ac:dyDescent="0.2">
      <c r="E366" s="127">
        <v>11</v>
      </c>
      <c r="F366" s="17"/>
      <c r="G366" s="17"/>
      <c r="H366" s="17"/>
      <c r="I366" s="17"/>
      <c r="J366" s="76">
        <f t="shared" ref="J366:Q366" ca="1" si="160">J352^(1/J$356)-1</f>
        <v>0.9914102356258887</v>
      </c>
      <c r="K366" s="76">
        <f t="shared" ca="1" si="160"/>
        <v>0.5395588139483114</v>
      </c>
      <c r="L366" s="76">
        <f t="shared" ca="1" si="160"/>
        <v>0.41340833850179104</v>
      </c>
      <c r="M366" s="76">
        <f t="shared" ca="1" si="160"/>
        <v>0.34438180689996289</v>
      </c>
      <c r="N366" s="76">
        <f t="shared" ca="1" si="160"/>
        <v>0.29862387027253878</v>
      </c>
      <c r="O366" s="76">
        <f t="shared" ca="1" si="160"/>
        <v>0.26490300493365604</v>
      </c>
      <c r="P366" s="76">
        <f t="shared" ca="1" si="160"/>
        <v>0.24065415618048669</v>
      </c>
      <c r="Q366" s="76">
        <f t="shared" ca="1" si="160"/>
        <v>0.22228785656454964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BA95-E096-4720-90E5-A1EF31AB1311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198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/>
      <c r="H12" s="78">
        <f t="shared" si="0"/>
        <v>0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/>
      <c r="H13" s="78">
        <f t="shared" si="0"/>
        <v>0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/>
      <c r="H14" s="78">
        <f t="shared" si="0"/>
        <v>0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/>
      <c r="H15" s="78">
        <f t="shared" si="0"/>
        <v>0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/>
      <c r="H16" s="79">
        <f t="shared" si="0"/>
        <v>0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0</v>
      </c>
      <c r="H17" s="80">
        <f t="shared" si="0"/>
        <v>0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/>
      <c r="H20" s="77">
        <f>IFERROR(G20/G$26,0)</f>
        <v>0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/>
      <c r="T22" s="49"/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/>
      <c r="O23" s="3" t="s">
        <v>20</v>
      </c>
      <c r="Q23" s="50"/>
      <c r="R23" s="137">
        <f>IFERROR(Q23/$M$9,0)</f>
        <v>0</v>
      </c>
      <c r="T23" s="50"/>
    </row>
    <row r="24" spans="1:20" x14ac:dyDescent="0.2">
      <c r="B24" s="16" t="s">
        <v>49</v>
      </c>
      <c r="C24" s="16"/>
      <c r="D24" s="16"/>
      <c r="E24" s="16"/>
      <c r="F24" s="16"/>
      <c r="G24" s="72"/>
      <c r="H24" s="78">
        <f t="shared" si="1"/>
        <v>0</v>
      </c>
      <c r="J24" s="23" t="s">
        <v>65</v>
      </c>
      <c r="K24" s="16"/>
      <c r="L24" s="16"/>
      <c r="M24" s="72"/>
      <c r="O24" s="9" t="s">
        <v>77</v>
      </c>
      <c r="P24" s="9"/>
      <c r="Q24" s="51"/>
      <c r="R24" s="138">
        <f t="shared" ref="R24:R28" si="2">IFERROR(Q24/$M$9,0)</f>
        <v>0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/>
      <c r="H25" s="79">
        <f t="shared" si="1"/>
        <v>0</v>
      </c>
      <c r="J25" s="24" t="s">
        <v>64</v>
      </c>
      <c r="K25" s="17"/>
      <c r="L25" s="17"/>
      <c r="M25" s="73"/>
      <c r="O25" s="3" t="s">
        <v>43</v>
      </c>
      <c r="Q25" s="50"/>
      <c r="R25" s="139">
        <f t="shared" si="2"/>
        <v>0</v>
      </c>
      <c r="T25" s="50"/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0</v>
      </c>
      <c r="H26" s="80">
        <f t="shared" si="1"/>
        <v>0</v>
      </c>
      <c r="J26" s="9" t="s">
        <v>63</v>
      </c>
      <c r="K26" s="9"/>
      <c r="L26" s="9"/>
      <c r="M26" s="51"/>
      <c r="O26" s="9" t="s">
        <v>78</v>
      </c>
      <c r="P26" s="9"/>
      <c r="Q26" s="51"/>
      <c r="R26" s="138">
        <f t="shared" si="2"/>
        <v>0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/>
      <c r="R27" s="139">
        <f t="shared" si="2"/>
        <v>0</v>
      </c>
      <c r="T27" s="50"/>
    </row>
    <row r="28" spans="1:20" x14ac:dyDescent="0.2">
      <c r="O28" s="9" t="s">
        <v>80</v>
      </c>
      <c r="P28" s="9"/>
      <c r="Q28" s="51"/>
      <c r="R28" s="138">
        <f t="shared" si="2"/>
        <v>0</v>
      </c>
      <c r="S28" s="9"/>
      <c r="T28" s="51"/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/>
      <c r="K47" s="51"/>
      <c r="L47" s="51"/>
      <c r="M47" s="51"/>
      <c r="N47" s="51"/>
      <c r="O47" s="51"/>
      <c r="P47" s="51"/>
      <c r="Q47" s="51"/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3">IFERROR(J47/I47-1,0)</f>
        <v>-1</v>
      </c>
      <c r="K48" s="57">
        <f t="shared" si="3"/>
        <v>0</v>
      </c>
      <c r="L48" s="57">
        <f t="shared" si="3"/>
        <v>0</v>
      </c>
      <c r="M48" s="57">
        <f t="shared" si="3"/>
        <v>0</v>
      </c>
      <c r="N48" s="57">
        <f t="shared" si="3"/>
        <v>0</v>
      </c>
      <c r="O48" s="57">
        <f t="shared" si="3"/>
        <v>0</v>
      </c>
      <c r="P48" s="57">
        <f t="shared" si="3"/>
        <v>0</v>
      </c>
      <c r="Q48" s="57">
        <f t="shared" si="3"/>
        <v>0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/>
      <c r="K50" s="51"/>
      <c r="L50" s="51"/>
      <c r="M50" s="51"/>
      <c r="N50" s="51"/>
      <c r="O50" s="51"/>
      <c r="P50" s="51"/>
      <c r="Q50" s="51"/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4">IFERROR(J50/J$47,0)</f>
        <v>0</v>
      </c>
      <c r="K51" s="59">
        <f t="shared" si="4"/>
        <v>0</v>
      </c>
      <c r="L51" s="59">
        <f t="shared" si="4"/>
        <v>0</v>
      </c>
      <c r="M51" s="59">
        <f t="shared" si="4"/>
        <v>0</v>
      </c>
      <c r="N51" s="59">
        <f t="shared" si="4"/>
        <v>0</v>
      </c>
      <c r="O51" s="59">
        <f t="shared" si="4"/>
        <v>0</v>
      </c>
      <c r="P51" s="59">
        <f t="shared" si="4"/>
        <v>0</v>
      </c>
      <c r="Q51" s="59">
        <f t="shared" si="4"/>
        <v>0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5">IFERROR(J50/I50-1,0)</f>
        <v>-1</v>
      </c>
      <c r="K52" s="57">
        <f t="shared" si="5"/>
        <v>0</v>
      </c>
      <c r="L52" s="57">
        <f t="shared" si="5"/>
        <v>0</v>
      </c>
      <c r="M52" s="57">
        <f t="shared" si="5"/>
        <v>0</v>
      </c>
      <c r="N52" s="57">
        <f t="shared" si="5"/>
        <v>0</v>
      </c>
      <c r="O52" s="57">
        <f t="shared" si="5"/>
        <v>0</v>
      </c>
      <c r="P52" s="57">
        <f t="shared" si="5"/>
        <v>0</v>
      </c>
      <c r="Q52" s="57">
        <f t="shared" si="5"/>
        <v>0</v>
      </c>
    </row>
    <row r="54" spans="2:17" x14ac:dyDescent="0.2">
      <c r="B54" s="20" t="s">
        <v>91</v>
      </c>
      <c r="H54" s="60">
        <v>-15</v>
      </c>
      <c r="I54" s="60">
        <v>-17</v>
      </c>
      <c r="J54" s="49"/>
      <c r="K54" s="49"/>
      <c r="L54" s="49"/>
      <c r="M54" s="49"/>
      <c r="N54" s="49"/>
      <c r="O54" s="49"/>
      <c r="P54" s="49"/>
      <c r="Q54" s="49"/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/>
      <c r="K55" s="51"/>
      <c r="L55" s="51"/>
      <c r="M55" s="51"/>
      <c r="N55" s="51"/>
      <c r="O55" s="51"/>
      <c r="P55" s="51"/>
      <c r="Q55" s="51"/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6">IFERROR(J55/J$47,0)</f>
        <v>0</v>
      </c>
      <c r="K56" s="59">
        <f t="shared" si="6"/>
        <v>0</v>
      </c>
      <c r="L56" s="59">
        <f t="shared" si="6"/>
        <v>0</v>
      </c>
      <c r="M56" s="59">
        <f t="shared" si="6"/>
        <v>0</v>
      </c>
      <c r="N56" s="59">
        <f t="shared" si="6"/>
        <v>0</v>
      </c>
      <c r="O56" s="59">
        <f t="shared" si="6"/>
        <v>0</v>
      </c>
      <c r="P56" s="59">
        <f t="shared" si="6"/>
        <v>0</v>
      </c>
      <c r="Q56" s="59">
        <f t="shared" si="6"/>
        <v>0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7">IFERROR(J55/I55-1,0)</f>
        <v>-1</v>
      </c>
      <c r="K57" s="57">
        <f t="shared" si="7"/>
        <v>0</v>
      </c>
      <c r="L57" s="57">
        <f t="shared" si="7"/>
        <v>0</v>
      </c>
      <c r="M57" s="57">
        <f t="shared" si="7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57">
        <f t="shared" si="7"/>
        <v>0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/>
      <c r="K60" s="51"/>
      <c r="L60" s="51"/>
      <c r="M60" s="51"/>
      <c r="N60" s="51"/>
      <c r="O60" s="51"/>
      <c r="P60" s="51"/>
      <c r="Q60" s="51"/>
    </row>
    <row r="61" spans="2:17" x14ac:dyDescent="0.2">
      <c r="B61" s="20"/>
    </row>
    <row r="62" spans="2:17" x14ac:dyDescent="0.2">
      <c r="B62" s="20" t="s">
        <v>96</v>
      </c>
      <c r="J62" s="49"/>
      <c r="K62" s="49"/>
      <c r="L62" s="49"/>
      <c r="M62" s="49"/>
      <c r="N62" s="49"/>
      <c r="O62" s="49"/>
      <c r="P62" s="49"/>
      <c r="Q62" s="49"/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/>
      <c r="K63" s="51"/>
      <c r="L63" s="51"/>
      <c r="M63" s="51"/>
      <c r="N63" s="51"/>
      <c r="O63" s="51"/>
      <c r="P63" s="51"/>
      <c r="Q63" s="51"/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8">IFERROR(J63/J$47,0)</f>
        <v>0</v>
      </c>
      <c r="K64" s="59">
        <f t="shared" si="8"/>
        <v>0</v>
      </c>
      <c r="L64" s="59">
        <f t="shared" si="8"/>
        <v>0</v>
      </c>
      <c r="M64" s="59">
        <f t="shared" si="8"/>
        <v>0</v>
      </c>
      <c r="N64" s="59">
        <f t="shared" si="8"/>
        <v>0</v>
      </c>
      <c r="O64" s="59">
        <f t="shared" si="8"/>
        <v>0</v>
      </c>
      <c r="P64" s="59">
        <f t="shared" si="8"/>
        <v>0</v>
      </c>
      <c r="Q64" s="59">
        <f t="shared" si="8"/>
        <v>0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9">IFERROR(J63/I63-1,0)</f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0">O69</f>
        <v>0.04</v>
      </c>
      <c r="Q69" s="61">
        <f t="shared" si="10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1">J70</f>
        <v>0.4</v>
      </c>
      <c r="L70" s="61">
        <f t="shared" si="11"/>
        <v>0.4</v>
      </c>
      <c r="M70" s="61">
        <f t="shared" si="11"/>
        <v>0.4</v>
      </c>
      <c r="N70" s="61">
        <f t="shared" si="11"/>
        <v>0.4</v>
      </c>
      <c r="O70" s="61">
        <f t="shared" si="11"/>
        <v>0.4</v>
      </c>
      <c r="P70" s="61">
        <f t="shared" si="11"/>
        <v>0.4</v>
      </c>
      <c r="Q70" s="61">
        <f t="shared" si="11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1"/>
        <v>0.26315789473684209</v>
      </c>
      <c r="L71" s="62">
        <f t="shared" si="11"/>
        <v>0.26315789473684209</v>
      </c>
      <c r="M71" s="62">
        <f t="shared" si="11"/>
        <v>0.26315789473684209</v>
      </c>
      <c r="N71" s="62">
        <f t="shared" si="11"/>
        <v>0.26315789473684209</v>
      </c>
      <c r="O71" s="62">
        <f t="shared" si="11"/>
        <v>0.26315789473684209</v>
      </c>
      <c r="P71" s="62">
        <f t="shared" si="11"/>
        <v>0.26315789473684209</v>
      </c>
      <c r="Q71" s="62">
        <f t="shared" si="11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1"/>
        <v>4.9707602339181284E-2</v>
      </c>
      <c r="L72" s="62">
        <f t="shared" si="11"/>
        <v>4.9707602339181284E-2</v>
      </c>
      <c r="M72" s="62">
        <f t="shared" si="11"/>
        <v>4.9707602339181284E-2</v>
      </c>
      <c r="N72" s="62">
        <f t="shared" si="11"/>
        <v>4.9707602339181284E-2</v>
      </c>
      <c r="O72" s="62">
        <f t="shared" si="11"/>
        <v>4.9707602339181284E-2</v>
      </c>
      <c r="P72" s="62">
        <f t="shared" si="11"/>
        <v>4.9707602339181284E-2</v>
      </c>
      <c r="Q72" s="62">
        <f t="shared" si="11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1"/>
        <v>4.9707602339181284E-2</v>
      </c>
      <c r="L73" s="76">
        <f t="shared" si="11"/>
        <v>4.9707602339181284E-2</v>
      </c>
      <c r="M73" s="76">
        <f t="shared" si="11"/>
        <v>4.9707602339181284E-2</v>
      </c>
      <c r="N73" s="76">
        <f t="shared" si="11"/>
        <v>4.9707602339181284E-2</v>
      </c>
      <c r="O73" s="76">
        <f t="shared" si="11"/>
        <v>4.9707602339181284E-2</v>
      </c>
      <c r="P73" s="76">
        <f t="shared" si="11"/>
        <v>4.9707602339181284E-2</v>
      </c>
      <c r="Q73" s="76">
        <f t="shared" si="11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/>
      <c r="J89" s="93"/>
      <c r="K89" s="93"/>
      <c r="L89" s="93"/>
      <c r="M89" s="93"/>
      <c r="N89" s="93"/>
      <c r="O89" s="93"/>
      <c r="P89" s="93"/>
      <c r="Q89" s="93"/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/>
      <c r="J90" s="94"/>
      <c r="K90" s="94"/>
      <c r="L90" s="94"/>
      <c r="M90" s="94"/>
      <c r="N90" s="94"/>
      <c r="O90" s="94"/>
      <c r="P90" s="94"/>
      <c r="Q90" s="94"/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/>
      <c r="J91" s="95"/>
      <c r="K91" s="95"/>
      <c r="L91" s="95"/>
      <c r="M91" s="95"/>
      <c r="N91" s="95"/>
      <c r="O91" s="95"/>
      <c r="P91" s="95"/>
      <c r="Q91" s="95"/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/>
      <c r="J95" s="76"/>
      <c r="K95" s="76"/>
      <c r="L95" s="76"/>
      <c r="M95" s="76"/>
      <c r="N95" s="76"/>
      <c r="O95" s="76"/>
      <c r="P95" s="76"/>
      <c r="Q95" s="76"/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/>
      <c r="J99" s="72"/>
      <c r="K99" s="72"/>
      <c r="L99" s="72"/>
      <c r="M99" s="72"/>
      <c r="N99" s="72"/>
      <c r="O99" s="72"/>
      <c r="P99" s="72"/>
      <c r="Q99" s="72"/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/>
      <c r="J101" s="51"/>
      <c r="K101" s="51"/>
      <c r="L101" s="51"/>
      <c r="M101" s="51"/>
      <c r="N101" s="51"/>
      <c r="O101" s="51"/>
      <c r="P101" s="51"/>
      <c r="Q101" s="51"/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/>
      <c r="J106" s="51"/>
      <c r="K106" s="51"/>
      <c r="L106" s="51"/>
      <c r="M106" s="51"/>
      <c r="N106" s="51"/>
      <c r="O106" s="51"/>
      <c r="P106" s="51"/>
      <c r="Q106" s="51"/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2:17" x14ac:dyDescent="0.2">
      <c r="C109" s="3" t="s">
        <v>124</v>
      </c>
      <c r="J109" s="49"/>
      <c r="K109" s="49"/>
      <c r="L109" s="49"/>
      <c r="M109" s="49"/>
      <c r="N109" s="49"/>
      <c r="O109" s="49"/>
      <c r="P109" s="49"/>
      <c r="Q109" s="49"/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/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/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/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12">ROUND(J140,3) = ROUND(J127,3)</f>
        <v>1</v>
      </c>
      <c r="K141" s="91" t="b">
        <f t="shared" si="12"/>
        <v>1</v>
      </c>
      <c r="L141" s="91" t="b">
        <f t="shared" si="12"/>
        <v>1</v>
      </c>
      <c r="M141" s="91" t="b">
        <f t="shared" si="12"/>
        <v>1</v>
      </c>
      <c r="N141" s="91" t="b">
        <f t="shared" si="12"/>
        <v>1</v>
      </c>
      <c r="O141" s="91" t="b">
        <f t="shared" si="12"/>
        <v>1</v>
      </c>
      <c r="P141" s="91" t="b">
        <f t="shared" si="12"/>
        <v>1</v>
      </c>
      <c r="Q141" s="91" t="b">
        <f t="shared" si="12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/>
      <c r="K151" s="72"/>
      <c r="L151" s="72"/>
      <c r="M151" s="72"/>
      <c r="N151" s="72"/>
      <c r="O151" s="72"/>
      <c r="P151" s="72"/>
      <c r="Q151" s="72"/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/>
      <c r="K154" s="51"/>
      <c r="L154" s="51"/>
      <c r="M154" s="51"/>
      <c r="N154" s="51"/>
      <c r="O154" s="51"/>
      <c r="P154" s="51"/>
      <c r="Q154" s="51"/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/>
      <c r="K155" s="50"/>
      <c r="L155" s="50"/>
      <c r="M155" s="50"/>
      <c r="N155" s="50"/>
      <c r="O155" s="50"/>
      <c r="P155" s="50"/>
      <c r="Q155" s="50"/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/>
      <c r="K156" s="51"/>
      <c r="L156" s="51"/>
      <c r="M156" s="51"/>
      <c r="N156" s="51"/>
      <c r="O156" s="51"/>
      <c r="P156" s="51"/>
      <c r="Q156" s="51"/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/>
      <c r="K159" s="72"/>
      <c r="L159" s="72"/>
      <c r="M159" s="72"/>
      <c r="N159" s="72"/>
      <c r="O159" s="72"/>
      <c r="P159" s="72"/>
      <c r="Q159" s="72"/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/>
      <c r="K160" s="73"/>
      <c r="L160" s="73"/>
      <c r="M160" s="73"/>
      <c r="N160" s="73"/>
      <c r="O160" s="73"/>
      <c r="P160" s="73"/>
      <c r="Q160" s="73"/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/>
      <c r="K161" s="51"/>
      <c r="L161" s="51"/>
      <c r="M161" s="51"/>
      <c r="N161" s="51"/>
      <c r="O161" s="51"/>
      <c r="P161" s="51"/>
      <c r="Q161" s="51"/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/>
      <c r="K163" s="82"/>
      <c r="L163" s="82"/>
      <c r="M163" s="82"/>
      <c r="N163" s="82"/>
      <c r="O163" s="82"/>
      <c r="P163" s="82"/>
      <c r="Q163" s="82"/>
    </row>
    <row r="164" spans="1:24" x14ac:dyDescent="0.2">
      <c r="B164" s="20" t="s">
        <v>136</v>
      </c>
      <c r="J164" s="50"/>
      <c r="K164" s="50"/>
      <c r="L164" s="50"/>
      <c r="M164" s="50"/>
      <c r="N164" s="50"/>
      <c r="O164" s="50"/>
      <c r="P164" s="50"/>
      <c r="Q164" s="50"/>
    </row>
    <row r="165" spans="1:24" x14ac:dyDescent="0.2">
      <c r="B165" s="20"/>
    </row>
    <row r="166" spans="1:24" x14ac:dyDescent="0.2">
      <c r="B166" s="20" t="s">
        <v>143</v>
      </c>
      <c r="J166" s="49"/>
      <c r="K166" s="49"/>
      <c r="L166" s="49"/>
      <c r="M166" s="49"/>
      <c r="N166" s="49"/>
      <c r="O166" s="49"/>
      <c r="P166" s="49"/>
      <c r="Q166" s="49"/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/>
      <c r="K170" s="82"/>
      <c r="L170" s="82"/>
      <c r="M170" s="82"/>
      <c r="N170" s="82"/>
      <c r="O170" s="82"/>
      <c r="P170" s="82"/>
      <c r="Q170" s="82"/>
    </row>
    <row r="171" spans="1:24" x14ac:dyDescent="0.2">
      <c r="B171" s="20" t="s">
        <v>145</v>
      </c>
      <c r="G171" s="99">
        <f>H35</f>
        <v>2.5000000000000001E-3</v>
      </c>
      <c r="J171" s="50"/>
      <c r="K171" s="50"/>
      <c r="L171" s="50"/>
      <c r="M171" s="50"/>
      <c r="N171" s="50"/>
      <c r="O171" s="50"/>
      <c r="P171" s="50"/>
      <c r="Q171" s="50"/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13">J$116</f>
        <v>43100</v>
      </c>
      <c r="K177" s="54">
        <f t="shared" si="13"/>
        <v>43465</v>
      </c>
      <c r="L177" s="54">
        <f t="shared" si="13"/>
        <v>43830</v>
      </c>
      <c r="M177" s="54">
        <f t="shared" si="13"/>
        <v>44196</v>
      </c>
      <c r="N177" s="54">
        <f t="shared" si="13"/>
        <v>44561</v>
      </c>
      <c r="O177" s="54">
        <f t="shared" si="13"/>
        <v>44926</v>
      </c>
      <c r="P177" s="54">
        <f t="shared" si="13"/>
        <v>45291</v>
      </c>
      <c r="Q177" s="54">
        <f t="shared" si="13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2:17" x14ac:dyDescent="0.2">
      <c r="C186" s="8" t="s">
        <v>168</v>
      </c>
      <c r="J186" s="57">
        <f>IFERROR(J185/$I185,0)</f>
        <v>0</v>
      </c>
      <c r="K186" s="57">
        <f t="shared" ref="K186:Q186" si="14">IFERROR(K185/$I185,0)</f>
        <v>0</v>
      </c>
      <c r="L186" s="57">
        <f t="shared" si="14"/>
        <v>0</v>
      </c>
      <c r="M186" s="57">
        <f t="shared" si="14"/>
        <v>0</v>
      </c>
      <c r="N186" s="57">
        <f t="shared" si="14"/>
        <v>0</v>
      </c>
      <c r="O186" s="57">
        <f t="shared" si="14"/>
        <v>0</v>
      </c>
      <c r="P186" s="57">
        <f t="shared" si="14"/>
        <v>0</v>
      </c>
      <c r="Q186" s="57">
        <f t="shared" si="14"/>
        <v>0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/>
      <c r="K191" s="102"/>
      <c r="L191" s="102"/>
      <c r="M191" s="102"/>
      <c r="N191" s="102"/>
      <c r="O191" s="102"/>
      <c r="P191" s="102"/>
      <c r="Q191" s="102"/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15">K194</f>
        <v>0</v>
      </c>
      <c r="M194" s="61">
        <f t="shared" si="15"/>
        <v>0</v>
      </c>
      <c r="N194" s="61">
        <f t="shared" si="15"/>
        <v>0</v>
      </c>
      <c r="O194" s="61">
        <f t="shared" si="15"/>
        <v>0</v>
      </c>
      <c r="P194" s="61">
        <f t="shared" si="15"/>
        <v>0</v>
      </c>
      <c r="Q194" s="61">
        <f t="shared" si="15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16">J195</f>
        <v>0.01</v>
      </c>
      <c r="L195" s="62">
        <f t="shared" si="16"/>
        <v>0.01</v>
      </c>
      <c r="M195" s="62">
        <f t="shared" si="16"/>
        <v>0.01</v>
      </c>
      <c r="N195" s="62">
        <f t="shared" si="16"/>
        <v>0.01</v>
      </c>
      <c r="O195" s="62">
        <f t="shared" si="16"/>
        <v>0.01</v>
      </c>
      <c r="P195" s="62">
        <f t="shared" si="16"/>
        <v>0.01</v>
      </c>
      <c r="Q195" s="62">
        <f t="shared" si="16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16"/>
        <v>0</v>
      </c>
      <c r="L196" s="62">
        <f t="shared" si="16"/>
        <v>0</v>
      </c>
      <c r="M196" s="62">
        <f t="shared" si="16"/>
        <v>0</v>
      </c>
      <c r="N196" s="62">
        <f t="shared" si="16"/>
        <v>0</v>
      </c>
      <c r="O196" s="62">
        <f t="shared" si="16"/>
        <v>0</v>
      </c>
      <c r="P196" s="62">
        <f t="shared" si="16"/>
        <v>0</v>
      </c>
      <c r="Q196" s="62">
        <f t="shared" si="16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16"/>
        <v>0</v>
      </c>
      <c r="L197" s="76">
        <f t="shared" si="16"/>
        <v>0</v>
      </c>
      <c r="M197" s="76">
        <f t="shared" si="16"/>
        <v>0</v>
      </c>
      <c r="N197" s="76">
        <f t="shared" si="16"/>
        <v>0</v>
      </c>
      <c r="O197" s="76">
        <f t="shared" si="16"/>
        <v>0</v>
      </c>
      <c r="P197" s="76">
        <f t="shared" si="16"/>
        <v>0</v>
      </c>
      <c r="Q197" s="76">
        <f t="shared" si="16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/>
      <c r="K202" s="72"/>
      <c r="L202" s="72"/>
      <c r="M202" s="72"/>
      <c r="N202" s="72"/>
      <c r="O202" s="72"/>
      <c r="P202" s="72"/>
      <c r="Q202" s="72"/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/>
      <c r="K203" s="73"/>
      <c r="L203" s="73"/>
      <c r="M203" s="73"/>
      <c r="N203" s="73"/>
      <c r="O203" s="73"/>
      <c r="P203" s="73"/>
      <c r="Q203" s="73"/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/>
      <c r="K204" s="51"/>
      <c r="L204" s="51"/>
      <c r="M204" s="51"/>
      <c r="N204" s="51"/>
      <c r="O204" s="51"/>
      <c r="P204" s="51"/>
      <c r="Q204" s="51"/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/>
      <c r="K206" s="102"/>
      <c r="L206" s="102"/>
      <c r="M206" s="102"/>
      <c r="N206" s="102"/>
      <c r="O206" s="102"/>
      <c r="P206" s="102"/>
      <c r="Q206" s="102"/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/>
      <c r="K209" s="82"/>
      <c r="L209" s="82"/>
      <c r="M209" s="82"/>
      <c r="N209" s="82"/>
      <c r="O209" s="82"/>
      <c r="P209" s="82"/>
      <c r="Q209" s="82"/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/>
      <c r="K211" s="72"/>
      <c r="L211" s="72"/>
      <c r="M211" s="72"/>
      <c r="N211" s="72"/>
      <c r="O211" s="72"/>
      <c r="P211" s="72"/>
      <c r="Q211" s="72"/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/>
      <c r="K212" s="72"/>
      <c r="L212" s="72"/>
      <c r="M212" s="72"/>
      <c r="N212" s="72"/>
      <c r="O212" s="72"/>
      <c r="P212" s="72"/>
      <c r="Q212" s="72"/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/>
      <c r="K213" s="51"/>
      <c r="L213" s="51"/>
      <c r="M213" s="51"/>
      <c r="N213" s="51"/>
      <c r="O213" s="51"/>
      <c r="P213" s="51"/>
      <c r="Q213" s="51"/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17">J$116</f>
        <v>43100</v>
      </c>
      <c r="K219" s="54">
        <f t="shared" si="17"/>
        <v>43465</v>
      </c>
      <c r="L219" s="54">
        <f t="shared" si="17"/>
        <v>43830</v>
      </c>
      <c r="M219" s="54">
        <f t="shared" si="17"/>
        <v>44196</v>
      </c>
      <c r="N219" s="54">
        <f t="shared" si="17"/>
        <v>44561</v>
      </c>
      <c r="O219" s="54">
        <f t="shared" si="17"/>
        <v>44926</v>
      </c>
      <c r="P219" s="54">
        <f t="shared" si="17"/>
        <v>45291</v>
      </c>
      <c r="Q219" s="54">
        <f t="shared" si="17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/>
      <c r="K228" s="72"/>
      <c r="L228" s="72"/>
      <c r="M228" s="72"/>
      <c r="N228" s="72"/>
      <c r="O228" s="72"/>
      <c r="P228" s="72"/>
      <c r="Q228" s="72"/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/>
      <c r="K229" s="73"/>
      <c r="L229" s="73"/>
      <c r="M229" s="73"/>
      <c r="N229" s="73"/>
      <c r="O229" s="73"/>
      <c r="P229" s="73"/>
      <c r="Q229" s="73"/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/>
      <c r="K232" s="108"/>
      <c r="L232" s="108"/>
      <c r="M232" s="108"/>
      <c r="N232" s="108"/>
      <c r="O232" s="108"/>
      <c r="P232" s="108"/>
      <c r="Q232" s="108"/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18">S10</f>
        <v>1</v>
      </c>
      <c r="H233" s="110">
        <f t="shared" si="18"/>
        <v>0.02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18"/>
        <v>1</v>
      </c>
      <c r="H234" s="109">
        <f t="shared" si="18"/>
        <v>0.03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18"/>
        <v>0</v>
      </c>
      <c r="H235" s="111">
        <f t="shared" si="18"/>
        <v>7.0000000000000007E-2</v>
      </c>
      <c r="I235" s="16"/>
      <c r="J235" s="111"/>
      <c r="K235" s="111"/>
      <c r="L235" s="111"/>
      <c r="M235" s="111"/>
      <c r="N235" s="111"/>
      <c r="O235" s="111"/>
      <c r="P235" s="111"/>
      <c r="Q235" s="111"/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18"/>
        <v>0</v>
      </c>
      <c r="H236" s="112">
        <f t="shared" si="18"/>
        <v>8.5000000000000006E-2</v>
      </c>
      <c r="I236" s="17"/>
      <c r="J236" s="112"/>
      <c r="K236" s="112"/>
      <c r="L236" s="112"/>
      <c r="M236" s="112"/>
      <c r="N236" s="112"/>
      <c r="O236" s="112"/>
      <c r="P236" s="112"/>
      <c r="Q236" s="112"/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/>
      <c r="K242" s="72"/>
      <c r="L242" s="72"/>
      <c r="M242" s="72"/>
      <c r="N242" s="72"/>
      <c r="O242" s="72"/>
      <c r="P242" s="72"/>
      <c r="Q242" s="72"/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/>
      <c r="K243" s="73"/>
      <c r="L243" s="73"/>
      <c r="M243" s="73"/>
      <c r="N243" s="73"/>
      <c r="O243" s="73"/>
      <c r="P243" s="73"/>
      <c r="Q243" s="73"/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/>
      <c r="K244" s="51"/>
      <c r="L244" s="51"/>
      <c r="M244" s="51"/>
      <c r="N244" s="51"/>
      <c r="O244" s="51"/>
      <c r="P244" s="51"/>
      <c r="Q244" s="51"/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9">V13</f>
        <v>3</v>
      </c>
      <c r="H248" s="17"/>
      <c r="I248" s="17"/>
      <c r="J248" s="73"/>
      <c r="K248" s="73"/>
      <c r="L248" s="73"/>
      <c r="M248" s="73"/>
      <c r="N248" s="73"/>
      <c r="O248" s="73"/>
      <c r="P248" s="73"/>
      <c r="Q248" s="73"/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/>
      <c r="K249" s="51"/>
      <c r="L249" s="51"/>
      <c r="M249" s="51"/>
      <c r="N249" s="51"/>
      <c r="O249" s="51"/>
      <c r="P249" s="51"/>
      <c r="Q249" s="51"/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</v>
      </c>
      <c r="H252" s="113">
        <f>R10</f>
        <v>5</v>
      </c>
      <c r="I252" s="19"/>
      <c r="J252" s="82"/>
      <c r="K252" s="82"/>
      <c r="L252" s="82"/>
      <c r="M252" s="82"/>
      <c r="N252" s="82"/>
      <c r="O252" s="82"/>
      <c r="P252" s="82"/>
      <c r="Q252" s="82"/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0</v>
      </c>
      <c r="H253" s="118">
        <f>R11</f>
        <v>6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0</v>
      </c>
      <c r="H254" s="118">
        <f>R12</f>
        <v>8</v>
      </c>
      <c r="I254" s="16"/>
      <c r="J254" s="72"/>
      <c r="K254" s="72"/>
      <c r="L254" s="72"/>
      <c r="M254" s="72"/>
      <c r="N254" s="72"/>
      <c r="O254" s="72"/>
      <c r="P254" s="72"/>
      <c r="Q254" s="72"/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0</v>
      </c>
      <c r="H255" s="114">
        <f>R13</f>
        <v>10</v>
      </c>
      <c r="I255" s="17"/>
      <c r="J255" s="73"/>
      <c r="K255" s="73"/>
      <c r="L255" s="73"/>
      <c r="M255" s="73"/>
      <c r="N255" s="73"/>
      <c r="O255" s="73"/>
      <c r="P255" s="73"/>
      <c r="Q255" s="73"/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/>
      <c r="K256" s="51"/>
      <c r="L256" s="51"/>
      <c r="M256" s="51"/>
      <c r="N256" s="51"/>
      <c r="O256" s="51"/>
      <c r="P256" s="51"/>
      <c r="Q256" s="51"/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/>
      <c r="K259" s="82"/>
      <c r="L259" s="82"/>
      <c r="M259" s="82"/>
      <c r="N259" s="82"/>
      <c r="O259" s="82"/>
      <c r="P259" s="82"/>
      <c r="Q259" s="82"/>
    </row>
    <row r="260" spans="1:24" x14ac:dyDescent="0.2">
      <c r="B260" s="20" t="s">
        <v>157</v>
      </c>
      <c r="J260" s="50"/>
      <c r="K260" s="50"/>
      <c r="L260" s="50"/>
      <c r="M260" s="50"/>
      <c r="N260" s="50"/>
      <c r="O260" s="50"/>
      <c r="P260" s="50"/>
      <c r="Q260" s="50"/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/>
      <c r="K261" s="51"/>
      <c r="L261" s="51"/>
      <c r="M261" s="51"/>
      <c r="N261" s="51"/>
      <c r="O261" s="51"/>
      <c r="P261" s="51"/>
      <c r="Q261" s="51"/>
    </row>
    <row r="262" spans="1:24" x14ac:dyDescent="0.2">
      <c r="B262" s="20" t="s">
        <v>159</v>
      </c>
      <c r="J262" s="50"/>
      <c r="K262" s="50"/>
      <c r="L262" s="50"/>
      <c r="M262" s="50"/>
      <c r="N262" s="50"/>
      <c r="O262" s="50"/>
      <c r="P262" s="50"/>
      <c r="Q262" s="50"/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/>
      <c r="K263" s="51"/>
      <c r="L263" s="51"/>
      <c r="M263" s="51"/>
      <c r="N263" s="51"/>
      <c r="O263" s="51"/>
      <c r="P263" s="51"/>
      <c r="Q263" s="51"/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/>
      <c r="K266" s="82"/>
      <c r="L266" s="82"/>
      <c r="M266" s="82"/>
      <c r="N266" s="82"/>
      <c r="O266" s="82"/>
      <c r="P266" s="82"/>
      <c r="Q266" s="82"/>
    </row>
    <row r="267" spans="1:24" x14ac:dyDescent="0.2">
      <c r="B267" s="20" t="s">
        <v>157</v>
      </c>
      <c r="J267" s="50"/>
      <c r="K267" s="50"/>
      <c r="L267" s="50"/>
      <c r="M267" s="50"/>
      <c r="N267" s="50"/>
      <c r="O267" s="50"/>
      <c r="P267" s="50"/>
      <c r="Q267" s="50"/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/>
      <c r="K268" s="51"/>
      <c r="L268" s="51"/>
      <c r="M268" s="51"/>
      <c r="N268" s="51"/>
      <c r="O268" s="51"/>
      <c r="P268" s="51"/>
      <c r="Q268" s="51"/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20">J$116</f>
        <v>43100</v>
      </c>
      <c r="K275" s="54">
        <f t="shared" si="20"/>
        <v>43465</v>
      </c>
      <c r="L275" s="54">
        <f t="shared" si="20"/>
        <v>43830</v>
      </c>
      <c r="M275" s="54">
        <f t="shared" si="20"/>
        <v>44196</v>
      </c>
      <c r="N275" s="54">
        <f t="shared" si="20"/>
        <v>44561</v>
      </c>
      <c r="O275" s="54">
        <f t="shared" si="20"/>
        <v>44926</v>
      </c>
      <c r="P275" s="54">
        <f t="shared" si="20"/>
        <v>45291</v>
      </c>
      <c r="Q275" s="54">
        <f t="shared" si="20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21">I$116</f>
        <v>42735</v>
      </c>
      <c r="J303" s="54">
        <f t="shared" ref="J303:Q303" si="22">J$116</f>
        <v>43100</v>
      </c>
      <c r="K303" s="54">
        <f t="shared" si="22"/>
        <v>43465</v>
      </c>
      <c r="L303" s="54">
        <f t="shared" si="22"/>
        <v>43830</v>
      </c>
      <c r="M303" s="54">
        <f t="shared" si="22"/>
        <v>44196</v>
      </c>
      <c r="N303" s="54">
        <f t="shared" si="22"/>
        <v>44561</v>
      </c>
      <c r="O303" s="54">
        <f t="shared" si="22"/>
        <v>44926</v>
      </c>
      <c r="P303" s="54">
        <f t="shared" si="22"/>
        <v>45291</v>
      </c>
      <c r="Q303" s="54">
        <f t="shared" si="22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DD00-DEE7-4F41-B3CB-AA880F42E25D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197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/>
      <c r="H12" s="78">
        <f t="shared" si="0"/>
        <v>0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/>
      <c r="H13" s="78">
        <f t="shared" si="0"/>
        <v>0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/>
      <c r="H14" s="78">
        <f t="shared" si="0"/>
        <v>0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/>
      <c r="H15" s="78">
        <f t="shared" si="0"/>
        <v>0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/>
      <c r="H16" s="79">
        <f t="shared" si="0"/>
        <v>0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0</v>
      </c>
      <c r="H17" s="80">
        <f t="shared" si="0"/>
        <v>0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/>
      <c r="H20" s="77">
        <f>IFERROR(G20/G$26,0)</f>
        <v>0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/>
      <c r="T22" s="49"/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/>
      <c r="R23" s="137">
        <f>IFERROR(Q23/$M$9,0)</f>
        <v>0</v>
      </c>
      <c r="T23" s="50"/>
    </row>
    <row r="24" spans="1:20" x14ac:dyDescent="0.2">
      <c r="B24" s="16" t="s">
        <v>49</v>
      </c>
      <c r="C24" s="16"/>
      <c r="D24" s="16"/>
      <c r="E24" s="16"/>
      <c r="F24" s="16"/>
      <c r="G24" s="72"/>
      <c r="H24" s="78">
        <f t="shared" si="1"/>
        <v>0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/>
      <c r="R24" s="138">
        <f t="shared" ref="R24:R28" si="2">IFERROR(Q24/$M$9,0)</f>
        <v>0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/>
      <c r="H25" s="79">
        <f t="shared" si="1"/>
        <v>0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/>
      <c r="R25" s="139">
        <f t="shared" si="2"/>
        <v>0</v>
      </c>
      <c r="T25" s="50"/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0</v>
      </c>
      <c r="H26" s="80">
        <f t="shared" si="1"/>
        <v>0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/>
      <c r="R26" s="138">
        <f t="shared" si="2"/>
        <v>0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/>
      <c r="R27" s="139">
        <f t="shared" si="2"/>
        <v>0</v>
      </c>
      <c r="T27" s="50"/>
    </row>
    <row r="28" spans="1:20" x14ac:dyDescent="0.2">
      <c r="O28" s="9" t="s">
        <v>80</v>
      </c>
      <c r="P28" s="9"/>
      <c r="Q28" s="51"/>
      <c r="R28" s="138">
        <f t="shared" si="2"/>
        <v>0</v>
      </c>
      <c r="S28" s="9"/>
      <c r="T28" s="51"/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/>
      <c r="K47" s="51"/>
      <c r="L47" s="51"/>
      <c r="M47" s="51"/>
      <c r="N47" s="51"/>
      <c r="O47" s="51"/>
      <c r="P47" s="51"/>
      <c r="Q47" s="51"/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3">IFERROR(J47/I47-1,0)</f>
        <v>-1</v>
      </c>
      <c r="K48" s="57">
        <f t="shared" si="3"/>
        <v>0</v>
      </c>
      <c r="L48" s="57">
        <f t="shared" si="3"/>
        <v>0</v>
      </c>
      <c r="M48" s="57">
        <f t="shared" si="3"/>
        <v>0</v>
      </c>
      <c r="N48" s="57">
        <f t="shared" si="3"/>
        <v>0</v>
      </c>
      <c r="O48" s="57">
        <f t="shared" si="3"/>
        <v>0</v>
      </c>
      <c r="P48" s="57">
        <f t="shared" si="3"/>
        <v>0</v>
      </c>
      <c r="Q48" s="57">
        <f t="shared" si="3"/>
        <v>0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/>
      <c r="K50" s="51"/>
      <c r="L50" s="51"/>
      <c r="M50" s="51"/>
      <c r="N50" s="51"/>
      <c r="O50" s="51"/>
      <c r="P50" s="51"/>
      <c r="Q50" s="51"/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4">IFERROR(J50/J$47,0)</f>
        <v>0</v>
      </c>
      <c r="K51" s="59">
        <f t="shared" si="4"/>
        <v>0</v>
      </c>
      <c r="L51" s="59">
        <f t="shared" si="4"/>
        <v>0</v>
      </c>
      <c r="M51" s="59">
        <f t="shared" si="4"/>
        <v>0</v>
      </c>
      <c r="N51" s="59">
        <f t="shared" si="4"/>
        <v>0</v>
      </c>
      <c r="O51" s="59">
        <f t="shared" si="4"/>
        <v>0</v>
      </c>
      <c r="P51" s="59">
        <f t="shared" si="4"/>
        <v>0</v>
      </c>
      <c r="Q51" s="59">
        <f t="shared" si="4"/>
        <v>0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5">IFERROR(J50/I50-1,0)</f>
        <v>-1</v>
      </c>
      <c r="K52" s="57">
        <f t="shared" si="5"/>
        <v>0</v>
      </c>
      <c r="L52" s="57">
        <f t="shared" si="5"/>
        <v>0</v>
      </c>
      <c r="M52" s="57">
        <f t="shared" si="5"/>
        <v>0</v>
      </c>
      <c r="N52" s="57">
        <f t="shared" si="5"/>
        <v>0</v>
      </c>
      <c r="O52" s="57">
        <f t="shared" si="5"/>
        <v>0</v>
      </c>
      <c r="P52" s="57">
        <f t="shared" si="5"/>
        <v>0</v>
      </c>
      <c r="Q52" s="57">
        <f t="shared" si="5"/>
        <v>0</v>
      </c>
    </row>
    <row r="54" spans="2:17" x14ac:dyDescent="0.2">
      <c r="B54" s="20" t="s">
        <v>91</v>
      </c>
      <c r="H54" s="60">
        <v>-15</v>
      </c>
      <c r="I54" s="60">
        <v>-17</v>
      </c>
      <c r="J54" s="49"/>
      <c r="K54" s="49"/>
      <c r="L54" s="49"/>
      <c r="M54" s="49"/>
      <c r="N54" s="49"/>
      <c r="O54" s="49"/>
      <c r="P54" s="49"/>
      <c r="Q54" s="49"/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/>
      <c r="K55" s="51"/>
      <c r="L55" s="51"/>
      <c r="M55" s="51"/>
      <c r="N55" s="51"/>
      <c r="O55" s="51"/>
      <c r="P55" s="51"/>
      <c r="Q55" s="51"/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6">IFERROR(J55/J$47,0)</f>
        <v>0</v>
      </c>
      <c r="K56" s="59">
        <f t="shared" si="6"/>
        <v>0</v>
      </c>
      <c r="L56" s="59">
        <f t="shared" si="6"/>
        <v>0</v>
      </c>
      <c r="M56" s="59">
        <f t="shared" si="6"/>
        <v>0</v>
      </c>
      <c r="N56" s="59">
        <f t="shared" si="6"/>
        <v>0</v>
      </c>
      <c r="O56" s="59">
        <f t="shared" si="6"/>
        <v>0</v>
      </c>
      <c r="P56" s="59">
        <f t="shared" si="6"/>
        <v>0</v>
      </c>
      <c r="Q56" s="59">
        <f t="shared" si="6"/>
        <v>0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7">IFERROR(J55/I55-1,0)</f>
        <v>-1</v>
      </c>
      <c r="K57" s="57">
        <f t="shared" si="7"/>
        <v>0</v>
      </c>
      <c r="L57" s="57">
        <f t="shared" si="7"/>
        <v>0</v>
      </c>
      <c r="M57" s="57">
        <f t="shared" si="7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57">
        <f t="shared" si="7"/>
        <v>0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/>
      <c r="K60" s="51"/>
      <c r="L60" s="51"/>
      <c r="M60" s="51"/>
      <c r="N60" s="51"/>
      <c r="O60" s="51"/>
      <c r="P60" s="51"/>
      <c r="Q60" s="51"/>
    </row>
    <row r="61" spans="2:17" x14ac:dyDescent="0.2">
      <c r="B61" s="20"/>
    </row>
    <row r="62" spans="2:17" x14ac:dyDescent="0.2">
      <c r="B62" s="20" t="s">
        <v>96</v>
      </c>
      <c r="J62" s="49"/>
      <c r="K62" s="49"/>
      <c r="L62" s="49"/>
      <c r="M62" s="49"/>
      <c r="N62" s="49"/>
      <c r="O62" s="49"/>
      <c r="P62" s="49"/>
      <c r="Q62" s="49"/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/>
      <c r="K63" s="51"/>
      <c r="L63" s="51"/>
      <c r="M63" s="51"/>
      <c r="N63" s="51"/>
      <c r="O63" s="51"/>
      <c r="P63" s="51"/>
      <c r="Q63" s="51"/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8">IFERROR(J63/J$47,0)</f>
        <v>0</v>
      </c>
      <c r="K64" s="59">
        <f t="shared" si="8"/>
        <v>0</v>
      </c>
      <c r="L64" s="59">
        <f t="shared" si="8"/>
        <v>0</v>
      </c>
      <c r="M64" s="59">
        <f t="shared" si="8"/>
        <v>0</v>
      </c>
      <c r="N64" s="59">
        <f t="shared" si="8"/>
        <v>0</v>
      </c>
      <c r="O64" s="59">
        <f t="shared" si="8"/>
        <v>0</v>
      </c>
      <c r="P64" s="59">
        <f t="shared" si="8"/>
        <v>0</v>
      </c>
      <c r="Q64" s="59">
        <f t="shared" si="8"/>
        <v>0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9">IFERROR(J63/I63-1,0)</f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0">O69</f>
        <v>0.04</v>
      </c>
      <c r="Q69" s="61">
        <f t="shared" si="10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1">J70</f>
        <v>0.4</v>
      </c>
      <c r="L70" s="61">
        <f t="shared" si="11"/>
        <v>0.4</v>
      </c>
      <c r="M70" s="61">
        <f t="shared" si="11"/>
        <v>0.4</v>
      </c>
      <c r="N70" s="61">
        <f t="shared" si="11"/>
        <v>0.4</v>
      </c>
      <c r="O70" s="61">
        <f t="shared" si="11"/>
        <v>0.4</v>
      </c>
      <c r="P70" s="61">
        <f t="shared" si="11"/>
        <v>0.4</v>
      </c>
      <c r="Q70" s="61">
        <f t="shared" si="11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1"/>
        <v>0.26315789473684209</v>
      </c>
      <c r="L71" s="62">
        <f t="shared" si="11"/>
        <v>0.26315789473684209</v>
      </c>
      <c r="M71" s="62">
        <f t="shared" si="11"/>
        <v>0.26315789473684209</v>
      </c>
      <c r="N71" s="62">
        <f t="shared" si="11"/>
        <v>0.26315789473684209</v>
      </c>
      <c r="O71" s="62">
        <f t="shared" si="11"/>
        <v>0.26315789473684209</v>
      </c>
      <c r="P71" s="62">
        <f t="shared" si="11"/>
        <v>0.26315789473684209</v>
      </c>
      <c r="Q71" s="62">
        <f t="shared" si="11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1"/>
        <v>4.9707602339181284E-2</v>
      </c>
      <c r="L72" s="62">
        <f t="shared" si="11"/>
        <v>4.9707602339181284E-2</v>
      </c>
      <c r="M72" s="62">
        <f t="shared" si="11"/>
        <v>4.9707602339181284E-2</v>
      </c>
      <c r="N72" s="62">
        <f t="shared" si="11"/>
        <v>4.9707602339181284E-2</v>
      </c>
      <c r="O72" s="62">
        <f t="shared" si="11"/>
        <v>4.9707602339181284E-2</v>
      </c>
      <c r="P72" s="62">
        <f t="shared" si="11"/>
        <v>4.9707602339181284E-2</v>
      </c>
      <c r="Q72" s="62">
        <f t="shared" si="11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1"/>
        <v>4.9707602339181284E-2</v>
      </c>
      <c r="L73" s="76">
        <f t="shared" si="11"/>
        <v>4.9707602339181284E-2</v>
      </c>
      <c r="M73" s="76">
        <f t="shared" si="11"/>
        <v>4.9707602339181284E-2</v>
      </c>
      <c r="N73" s="76">
        <f t="shared" si="11"/>
        <v>4.9707602339181284E-2</v>
      </c>
      <c r="O73" s="76">
        <f t="shared" si="11"/>
        <v>4.9707602339181284E-2</v>
      </c>
      <c r="P73" s="76">
        <f t="shared" si="11"/>
        <v>4.9707602339181284E-2</v>
      </c>
      <c r="Q73" s="76">
        <f t="shared" si="11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/>
      <c r="J89" s="93"/>
      <c r="K89" s="93"/>
      <c r="L89" s="93"/>
      <c r="M89" s="93"/>
      <c r="N89" s="93"/>
      <c r="O89" s="93"/>
      <c r="P89" s="93"/>
      <c r="Q89" s="93"/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/>
      <c r="J90" s="94"/>
      <c r="K90" s="94"/>
      <c r="L90" s="94"/>
      <c r="M90" s="94"/>
      <c r="N90" s="94"/>
      <c r="O90" s="94"/>
      <c r="P90" s="94"/>
      <c r="Q90" s="94"/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/>
      <c r="J91" s="95"/>
      <c r="K91" s="95"/>
      <c r="L91" s="95"/>
      <c r="M91" s="95"/>
      <c r="N91" s="95"/>
      <c r="O91" s="95"/>
      <c r="P91" s="95"/>
      <c r="Q91" s="95"/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/>
      <c r="J95" s="76"/>
      <c r="K95" s="76"/>
      <c r="L95" s="76"/>
      <c r="M95" s="76"/>
      <c r="N95" s="76"/>
      <c r="O95" s="76"/>
      <c r="P95" s="76"/>
      <c r="Q95" s="76"/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/>
      <c r="J99" s="72"/>
      <c r="K99" s="72"/>
      <c r="L99" s="72"/>
      <c r="M99" s="72"/>
      <c r="N99" s="72"/>
      <c r="O99" s="72"/>
      <c r="P99" s="72"/>
      <c r="Q99" s="72"/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/>
      <c r="J101" s="51"/>
      <c r="K101" s="51"/>
      <c r="L101" s="51"/>
      <c r="M101" s="51"/>
      <c r="N101" s="51"/>
      <c r="O101" s="51"/>
      <c r="P101" s="51"/>
      <c r="Q101" s="51"/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/>
      <c r="J106" s="51"/>
      <c r="K106" s="51"/>
      <c r="L106" s="51"/>
      <c r="M106" s="51"/>
      <c r="N106" s="51"/>
      <c r="O106" s="51"/>
      <c r="P106" s="51"/>
      <c r="Q106" s="51"/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2:17" x14ac:dyDescent="0.2">
      <c r="C109" s="3" t="s">
        <v>124</v>
      </c>
      <c r="J109" s="49"/>
      <c r="K109" s="49"/>
      <c r="L109" s="49"/>
      <c r="M109" s="49"/>
      <c r="N109" s="49"/>
      <c r="O109" s="49"/>
      <c r="P109" s="49"/>
      <c r="Q109" s="49"/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/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/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/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12">ROUND(J140,3) = ROUND(J127,3)</f>
        <v>1</v>
      </c>
      <c r="K141" s="91" t="b">
        <f t="shared" si="12"/>
        <v>1</v>
      </c>
      <c r="L141" s="91" t="b">
        <f t="shared" si="12"/>
        <v>1</v>
      </c>
      <c r="M141" s="91" t="b">
        <f t="shared" si="12"/>
        <v>1</v>
      </c>
      <c r="N141" s="91" t="b">
        <f t="shared" si="12"/>
        <v>1</v>
      </c>
      <c r="O141" s="91" t="b">
        <f t="shared" si="12"/>
        <v>1</v>
      </c>
      <c r="P141" s="91" t="b">
        <f t="shared" si="12"/>
        <v>1</v>
      </c>
      <c r="Q141" s="91" t="b">
        <f t="shared" si="12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/>
      <c r="K151" s="72"/>
      <c r="L151" s="72"/>
      <c r="M151" s="72"/>
      <c r="N151" s="72"/>
      <c r="O151" s="72"/>
      <c r="P151" s="72"/>
      <c r="Q151" s="72"/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/>
      <c r="K154" s="51"/>
      <c r="L154" s="51"/>
      <c r="M154" s="51"/>
      <c r="N154" s="51"/>
      <c r="O154" s="51"/>
      <c r="P154" s="51"/>
      <c r="Q154" s="51"/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/>
      <c r="K155" s="50"/>
      <c r="L155" s="50"/>
      <c r="M155" s="50"/>
      <c r="N155" s="50"/>
      <c r="O155" s="50"/>
      <c r="P155" s="50"/>
      <c r="Q155" s="50"/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/>
      <c r="K156" s="51"/>
      <c r="L156" s="51"/>
      <c r="M156" s="51"/>
      <c r="N156" s="51"/>
      <c r="O156" s="51"/>
      <c r="P156" s="51"/>
      <c r="Q156" s="51"/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/>
      <c r="K159" s="72"/>
      <c r="L159" s="72"/>
      <c r="M159" s="72"/>
      <c r="N159" s="72"/>
      <c r="O159" s="72"/>
      <c r="P159" s="72"/>
      <c r="Q159" s="72"/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/>
      <c r="K160" s="73"/>
      <c r="L160" s="73"/>
      <c r="M160" s="73"/>
      <c r="N160" s="73"/>
      <c r="O160" s="73"/>
      <c r="P160" s="73"/>
      <c r="Q160" s="73"/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/>
      <c r="K161" s="51"/>
      <c r="L161" s="51"/>
      <c r="M161" s="51"/>
      <c r="N161" s="51"/>
      <c r="O161" s="51"/>
      <c r="P161" s="51"/>
      <c r="Q161" s="51"/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/>
      <c r="K163" s="82"/>
      <c r="L163" s="82"/>
      <c r="M163" s="82"/>
      <c r="N163" s="82"/>
      <c r="O163" s="82"/>
      <c r="P163" s="82"/>
      <c r="Q163" s="82"/>
    </row>
    <row r="164" spans="1:24" x14ac:dyDescent="0.2">
      <c r="B164" s="20" t="s">
        <v>136</v>
      </c>
      <c r="J164" s="50"/>
      <c r="K164" s="50"/>
      <c r="L164" s="50"/>
      <c r="M164" s="50"/>
      <c r="N164" s="50"/>
      <c r="O164" s="50"/>
      <c r="P164" s="50"/>
      <c r="Q164" s="50"/>
    </row>
    <row r="165" spans="1:24" x14ac:dyDescent="0.2">
      <c r="B165" s="20"/>
    </row>
    <row r="166" spans="1:24" x14ac:dyDescent="0.2">
      <c r="B166" s="20" t="s">
        <v>143</v>
      </c>
      <c r="J166" s="49"/>
      <c r="K166" s="49"/>
      <c r="L166" s="49"/>
      <c r="M166" s="49"/>
      <c r="N166" s="49"/>
      <c r="O166" s="49"/>
      <c r="P166" s="49"/>
      <c r="Q166" s="49"/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/>
      <c r="K170" s="82"/>
      <c r="L170" s="82"/>
      <c r="M170" s="82"/>
      <c r="N170" s="82"/>
      <c r="O170" s="82"/>
      <c r="P170" s="82"/>
      <c r="Q170" s="82"/>
    </row>
    <row r="171" spans="1:24" x14ac:dyDescent="0.2">
      <c r="B171" s="20" t="s">
        <v>145</v>
      </c>
      <c r="G171" s="99">
        <f>H35</f>
        <v>2.5000000000000001E-3</v>
      </c>
      <c r="J171" s="50"/>
      <c r="K171" s="50"/>
      <c r="L171" s="50"/>
      <c r="M171" s="50"/>
      <c r="N171" s="50"/>
      <c r="O171" s="50"/>
      <c r="P171" s="50"/>
      <c r="Q171" s="50"/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13">J$116</f>
        <v>43100</v>
      </c>
      <c r="K177" s="54">
        <f t="shared" si="13"/>
        <v>43465</v>
      </c>
      <c r="L177" s="54">
        <f t="shared" si="13"/>
        <v>43830</v>
      </c>
      <c r="M177" s="54">
        <f t="shared" si="13"/>
        <v>44196</v>
      </c>
      <c r="N177" s="54">
        <f t="shared" si="13"/>
        <v>44561</v>
      </c>
      <c r="O177" s="54">
        <f t="shared" si="13"/>
        <v>44926</v>
      </c>
      <c r="P177" s="54">
        <f t="shared" si="13"/>
        <v>45291</v>
      </c>
      <c r="Q177" s="54">
        <f t="shared" si="13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2:17" x14ac:dyDescent="0.2">
      <c r="C186" s="8" t="s">
        <v>168</v>
      </c>
      <c r="J186" s="57">
        <f>IFERROR(J185/$I185,0)</f>
        <v>0</v>
      </c>
      <c r="K186" s="57">
        <f t="shared" ref="K186:Q186" si="14">IFERROR(K185/$I185,0)</f>
        <v>0</v>
      </c>
      <c r="L186" s="57">
        <f t="shared" si="14"/>
        <v>0</v>
      </c>
      <c r="M186" s="57">
        <f t="shared" si="14"/>
        <v>0</v>
      </c>
      <c r="N186" s="57">
        <f t="shared" si="14"/>
        <v>0</v>
      </c>
      <c r="O186" s="57">
        <f t="shared" si="14"/>
        <v>0</v>
      </c>
      <c r="P186" s="57">
        <f t="shared" si="14"/>
        <v>0</v>
      </c>
      <c r="Q186" s="57">
        <f t="shared" si="14"/>
        <v>0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/>
      <c r="K191" s="102"/>
      <c r="L191" s="102"/>
      <c r="M191" s="102"/>
      <c r="N191" s="102"/>
      <c r="O191" s="102"/>
      <c r="P191" s="102"/>
      <c r="Q191" s="102"/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15">K194</f>
        <v>0</v>
      </c>
      <c r="M194" s="61">
        <f t="shared" si="15"/>
        <v>0</v>
      </c>
      <c r="N194" s="61">
        <f t="shared" si="15"/>
        <v>0</v>
      </c>
      <c r="O194" s="61">
        <f t="shared" si="15"/>
        <v>0</v>
      </c>
      <c r="P194" s="61">
        <f t="shared" si="15"/>
        <v>0</v>
      </c>
      <c r="Q194" s="61">
        <f t="shared" si="15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16">J195</f>
        <v>0.01</v>
      </c>
      <c r="L195" s="62">
        <f t="shared" si="16"/>
        <v>0.01</v>
      </c>
      <c r="M195" s="62">
        <f t="shared" si="16"/>
        <v>0.01</v>
      </c>
      <c r="N195" s="62">
        <f t="shared" si="16"/>
        <v>0.01</v>
      </c>
      <c r="O195" s="62">
        <f t="shared" si="16"/>
        <v>0.01</v>
      </c>
      <c r="P195" s="62">
        <f t="shared" si="16"/>
        <v>0.01</v>
      </c>
      <c r="Q195" s="62">
        <f t="shared" si="16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16"/>
        <v>0</v>
      </c>
      <c r="L196" s="62">
        <f t="shared" si="16"/>
        <v>0</v>
      </c>
      <c r="M196" s="62">
        <f t="shared" si="16"/>
        <v>0</v>
      </c>
      <c r="N196" s="62">
        <f t="shared" si="16"/>
        <v>0</v>
      </c>
      <c r="O196" s="62">
        <f t="shared" si="16"/>
        <v>0</v>
      </c>
      <c r="P196" s="62">
        <f t="shared" si="16"/>
        <v>0</v>
      </c>
      <c r="Q196" s="62">
        <f t="shared" si="16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16"/>
        <v>0</v>
      </c>
      <c r="L197" s="76">
        <f t="shared" si="16"/>
        <v>0</v>
      </c>
      <c r="M197" s="76">
        <f t="shared" si="16"/>
        <v>0</v>
      </c>
      <c r="N197" s="76">
        <f t="shared" si="16"/>
        <v>0</v>
      </c>
      <c r="O197" s="76">
        <f t="shared" si="16"/>
        <v>0</v>
      </c>
      <c r="P197" s="76">
        <f t="shared" si="16"/>
        <v>0</v>
      </c>
      <c r="Q197" s="76">
        <f t="shared" si="16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/>
      <c r="K202" s="72"/>
      <c r="L202" s="72"/>
      <c r="M202" s="72"/>
      <c r="N202" s="72"/>
      <c r="O202" s="72"/>
      <c r="P202" s="72"/>
      <c r="Q202" s="72"/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/>
      <c r="K203" s="73"/>
      <c r="L203" s="73"/>
      <c r="M203" s="73"/>
      <c r="N203" s="73"/>
      <c r="O203" s="73"/>
      <c r="P203" s="73"/>
      <c r="Q203" s="73"/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/>
      <c r="K204" s="51"/>
      <c r="L204" s="51"/>
      <c r="M204" s="51"/>
      <c r="N204" s="51"/>
      <c r="O204" s="51"/>
      <c r="P204" s="51"/>
      <c r="Q204" s="51"/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/>
      <c r="K206" s="102"/>
      <c r="L206" s="102"/>
      <c r="M206" s="102"/>
      <c r="N206" s="102"/>
      <c r="O206" s="102"/>
      <c r="P206" s="102"/>
      <c r="Q206" s="102"/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/>
      <c r="K209" s="82"/>
      <c r="L209" s="82"/>
      <c r="M209" s="82"/>
      <c r="N209" s="82"/>
      <c r="O209" s="82"/>
      <c r="P209" s="82"/>
      <c r="Q209" s="82"/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/>
      <c r="K211" s="72"/>
      <c r="L211" s="72"/>
      <c r="M211" s="72"/>
      <c r="N211" s="72"/>
      <c r="O211" s="72"/>
      <c r="P211" s="72"/>
      <c r="Q211" s="72"/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/>
      <c r="K212" s="72"/>
      <c r="L212" s="72"/>
      <c r="M212" s="72"/>
      <c r="N212" s="72"/>
      <c r="O212" s="72"/>
      <c r="P212" s="72"/>
      <c r="Q212" s="72"/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/>
      <c r="K213" s="51"/>
      <c r="L213" s="51"/>
      <c r="M213" s="51"/>
      <c r="N213" s="51"/>
      <c r="O213" s="51"/>
      <c r="P213" s="51"/>
      <c r="Q213" s="51"/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17">J$116</f>
        <v>43100</v>
      </c>
      <c r="K219" s="54">
        <f t="shared" si="17"/>
        <v>43465</v>
      </c>
      <c r="L219" s="54">
        <f t="shared" si="17"/>
        <v>43830</v>
      </c>
      <c r="M219" s="54">
        <f t="shared" si="17"/>
        <v>44196</v>
      </c>
      <c r="N219" s="54">
        <f t="shared" si="17"/>
        <v>44561</v>
      </c>
      <c r="O219" s="54">
        <f t="shared" si="17"/>
        <v>44926</v>
      </c>
      <c r="P219" s="54">
        <f t="shared" si="17"/>
        <v>45291</v>
      </c>
      <c r="Q219" s="54">
        <f t="shared" si="17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/>
      <c r="K228" s="72"/>
      <c r="L228" s="72"/>
      <c r="M228" s="72"/>
      <c r="N228" s="72"/>
      <c r="O228" s="72"/>
      <c r="P228" s="72"/>
      <c r="Q228" s="72"/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/>
      <c r="K229" s="73"/>
      <c r="L229" s="73"/>
      <c r="M229" s="73"/>
      <c r="N229" s="73"/>
      <c r="O229" s="73"/>
      <c r="P229" s="73"/>
      <c r="Q229" s="73"/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/>
      <c r="K232" s="108"/>
      <c r="L232" s="108"/>
      <c r="M232" s="108"/>
      <c r="N232" s="108"/>
      <c r="O232" s="108"/>
      <c r="P232" s="108"/>
      <c r="Q232" s="108"/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18">S10</f>
        <v>1</v>
      </c>
      <c r="H233" s="110">
        <f t="shared" si="18"/>
        <v>0.02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18"/>
        <v>1</v>
      </c>
      <c r="H234" s="109">
        <f t="shared" si="18"/>
        <v>0.03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18"/>
        <v>0</v>
      </c>
      <c r="H235" s="111">
        <f t="shared" si="18"/>
        <v>7.0000000000000007E-2</v>
      </c>
      <c r="I235" s="16"/>
      <c r="J235" s="111"/>
      <c r="K235" s="111"/>
      <c r="L235" s="111"/>
      <c r="M235" s="111"/>
      <c r="N235" s="111"/>
      <c r="O235" s="111"/>
      <c r="P235" s="111"/>
      <c r="Q235" s="111"/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18"/>
        <v>0</v>
      </c>
      <c r="H236" s="112">
        <f t="shared" si="18"/>
        <v>8.5000000000000006E-2</v>
      </c>
      <c r="I236" s="17"/>
      <c r="J236" s="112"/>
      <c r="K236" s="112"/>
      <c r="L236" s="112"/>
      <c r="M236" s="112"/>
      <c r="N236" s="112"/>
      <c r="O236" s="112"/>
      <c r="P236" s="112"/>
      <c r="Q236" s="112"/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/>
      <c r="K242" s="72"/>
      <c r="L242" s="72"/>
      <c r="M242" s="72"/>
      <c r="N242" s="72"/>
      <c r="O242" s="72"/>
      <c r="P242" s="72"/>
      <c r="Q242" s="72"/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/>
      <c r="K243" s="73"/>
      <c r="L243" s="73"/>
      <c r="M243" s="73"/>
      <c r="N243" s="73"/>
      <c r="O243" s="73"/>
      <c r="P243" s="73"/>
      <c r="Q243" s="73"/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/>
      <c r="K244" s="51"/>
      <c r="L244" s="51"/>
      <c r="M244" s="51"/>
      <c r="N244" s="51"/>
      <c r="O244" s="51"/>
      <c r="P244" s="51"/>
      <c r="Q244" s="51"/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9">V13</f>
        <v>3</v>
      </c>
      <c r="H248" s="17"/>
      <c r="I248" s="17"/>
      <c r="J248" s="73"/>
      <c r="K248" s="73"/>
      <c r="L248" s="73"/>
      <c r="M248" s="73"/>
      <c r="N248" s="73"/>
      <c r="O248" s="73"/>
      <c r="P248" s="73"/>
      <c r="Q248" s="73"/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/>
      <c r="K249" s="51"/>
      <c r="L249" s="51"/>
      <c r="M249" s="51"/>
      <c r="N249" s="51"/>
      <c r="O249" s="51"/>
      <c r="P249" s="51"/>
      <c r="Q249" s="51"/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</v>
      </c>
      <c r="H252" s="113">
        <f>R10</f>
        <v>5</v>
      </c>
      <c r="I252" s="19"/>
      <c r="J252" s="82"/>
      <c r="K252" s="82"/>
      <c r="L252" s="82"/>
      <c r="M252" s="82"/>
      <c r="N252" s="82"/>
      <c r="O252" s="82"/>
      <c r="P252" s="82"/>
      <c r="Q252" s="82"/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0</v>
      </c>
      <c r="H253" s="118">
        <f>R11</f>
        <v>6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0</v>
      </c>
      <c r="H254" s="118">
        <f>R12</f>
        <v>8</v>
      </c>
      <c r="I254" s="16"/>
      <c r="J254" s="72"/>
      <c r="K254" s="72"/>
      <c r="L254" s="72"/>
      <c r="M254" s="72"/>
      <c r="N254" s="72"/>
      <c r="O254" s="72"/>
      <c r="P254" s="72"/>
      <c r="Q254" s="72"/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0</v>
      </c>
      <c r="H255" s="114">
        <f>R13</f>
        <v>10</v>
      </c>
      <c r="I255" s="17"/>
      <c r="J255" s="73"/>
      <c r="K255" s="73"/>
      <c r="L255" s="73"/>
      <c r="M255" s="73"/>
      <c r="N255" s="73"/>
      <c r="O255" s="73"/>
      <c r="P255" s="73"/>
      <c r="Q255" s="73"/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/>
      <c r="K256" s="51"/>
      <c r="L256" s="51"/>
      <c r="M256" s="51"/>
      <c r="N256" s="51"/>
      <c r="O256" s="51"/>
      <c r="P256" s="51"/>
      <c r="Q256" s="51"/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/>
      <c r="K259" s="82"/>
      <c r="L259" s="82"/>
      <c r="M259" s="82"/>
      <c r="N259" s="82"/>
      <c r="O259" s="82"/>
      <c r="P259" s="82"/>
      <c r="Q259" s="82"/>
    </row>
    <row r="260" spans="1:24" x14ac:dyDescent="0.2">
      <c r="B260" s="20" t="s">
        <v>157</v>
      </c>
      <c r="J260" s="50"/>
      <c r="K260" s="50"/>
      <c r="L260" s="50"/>
      <c r="M260" s="50"/>
      <c r="N260" s="50"/>
      <c r="O260" s="50"/>
      <c r="P260" s="50"/>
      <c r="Q260" s="50"/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/>
      <c r="K261" s="51"/>
      <c r="L261" s="51"/>
      <c r="M261" s="51"/>
      <c r="N261" s="51"/>
      <c r="O261" s="51"/>
      <c r="P261" s="51"/>
      <c r="Q261" s="51"/>
    </row>
    <row r="262" spans="1:24" x14ac:dyDescent="0.2">
      <c r="B262" s="20" t="s">
        <v>159</v>
      </c>
      <c r="J262" s="50"/>
      <c r="K262" s="50"/>
      <c r="L262" s="50"/>
      <c r="M262" s="50"/>
      <c r="N262" s="50"/>
      <c r="O262" s="50"/>
      <c r="P262" s="50"/>
      <c r="Q262" s="50"/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/>
      <c r="K263" s="51"/>
      <c r="L263" s="51"/>
      <c r="M263" s="51"/>
      <c r="N263" s="51"/>
      <c r="O263" s="51"/>
      <c r="P263" s="51"/>
      <c r="Q263" s="51"/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/>
      <c r="K266" s="82"/>
      <c r="L266" s="82"/>
      <c r="M266" s="82"/>
      <c r="N266" s="82"/>
      <c r="O266" s="82"/>
      <c r="P266" s="82"/>
      <c r="Q266" s="82"/>
    </row>
    <row r="267" spans="1:24" x14ac:dyDescent="0.2">
      <c r="B267" s="20" t="s">
        <v>157</v>
      </c>
      <c r="J267" s="50"/>
      <c r="K267" s="50"/>
      <c r="L267" s="50"/>
      <c r="M267" s="50"/>
      <c r="N267" s="50"/>
      <c r="O267" s="50"/>
      <c r="P267" s="50"/>
      <c r="Q267" s="50"/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/>
      <c r="K268" s="51"/>
      <c r="L268" s="51"/>
      <c r="M268" s="51"/>
      <c r="N268" s="51"/>
      <c r="O268" s="51"/>
      <c r="P268" s="51"/>
      <c r="Q268" s="51"/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20">J$116</f>
        <v>43100</v>
      </c>
      <c r="K275" s="54">
        <f t="shared" si="20"/>
        <v>43465</v>
      </c>
      <c r="L275" s="54">
        <f t="shared" si="20"/>
        <v>43830</v>
      </c>
      <c r="M275" s="54">
        <f t="shared" si="20"/>
        <v>44196</v>
      </c>
      <c r="N275" s="54">
        <f t="shared" si="20"/>
        <v>44561</v>
      </c>
      <c r="O275" s="54">
        <f t="shared" si="20"/>
        <v>44926</v>
      </c>
      <c r="P275" s="54">
        <f t="shared" si="20"/>
        <v>45291</v>
      </c>
      <c r="Q275" s="54">
        <f t="shared" si="20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21">I$116</f>
        <v>42735</v>
      </c>
      <c r="J303" s="54">
        <f t="shared" ref="J303:Q303" si="22">J$116</f>
        <v>43100</v>
      </c>
      <c r="K303" s="54">
        <f t="shared" si="22"/>
        <v>43465</v>
      </c>
      <c r="L303" s="54">
        <f t="shared" si="22"/>
        <v>43830</v>
      </c>
      <c r="M303" s="54">
        <f t="shared" si="22"/>
        <v>44196</v>
      </c>
      <c r="N303" s="54">
        <f t="shared" si="22"/>
        <v>44561</v>
      </c>
      <c r="O303" s="54">
        <f t="shared" si="22"/>
        <v>44926</v>
      </c>
      <c r="P303" s="54">
        <f t="shared" si="22"/>
        <v>45291</v>
      </c>
      <c r="Q303" s="54">
        <f t="shared" si="22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3810-7BBC-4EDB-976F-C787DD3C08E6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196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/>
      <c r="H12" s="78">
        <f t="shared" si="0"/>
        <v>0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/>
      <c r="H13" s="78">
        <f t="shared" si="0"/>
        <v>0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/>
      <c r="H14" s="78">
        <f t="shared" si="0"/>
        <v>0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/>
      <c r="H15" s="78">
        <f t="shared" si="0"/>
        <v>0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/>
      <c r="H16" s="79">
        <f t="shared" si="0"/>
        <v>0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0</v>
      </c>
      <c r="H17" s="80">
        <f t="shared" si="0"/>
        <v>0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/>
      <c r="H20" s="77">
        <f>IFERROR(G20/G$26,0)</f>
        <v>0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/>
      <c r="H24" s="78">
        <f t="shared" si="1"/>
        <v>0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/>
      <c r="H25" s="79">
        <f t="shared" si="1"/>
        <v>0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0</v>
      </c>
      <c r="H26" s="80">
        <f t="shared" si="1"/>
        <v>0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/>
      <c r="K47" s="51"/>
      <c r="L47" s="51"/>
      <c r="M47" s="51"/>
      <c r="N47" s="51"/>
      <c r="O47" s="51"/>
      <c r="P47" s="51"/>
      <c r="Q47" s="51"/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3">IFERROR(J47/I47-1,0)</f>
        <v>-1</v>
      </c>
      <c r="K48" s="57">
        <f t="shared" si="3"/>
        <v>0</v>
      </c>
      <c r="L48" s="57">
        <f t="shared" si="3"/>
        <v>0</v>
      </c>
      <c r="M48" s="57">
        <f t="shared" si="3"/>
        <v>0</v>
      </c>
      <c r="N48" s="57">
        <f t="shared" si="3"/>
        <v>0</v>
      </c>
      <c r="O48" s="57">
        <f t="shared" si="3"/>
        <v>0</v>
      </c>
      <c r="P48" s="57">
        <f t="shared" si="3"/>
        <v>0</v>
      </c>
      <c r="Q48" s="57">
        <f t="shared" si="3"/>
        <v>0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/>
      <c r="K50" s="51"/>
      <c r="L50" s="51"/>
      <c r="M50" s="51"/>
      <c r="N50" s="51"/>
      <c r="O50" s="51"/>
      <c r="P50" s="51"/>
      <c r="Q50" s="51"/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4">IFERROR(J50/J$47,0)</f>
        <v>0</v>
      </c>
      <c r="K51" s="59">
        <f t="shared" si="4"/>
        <v>0</v>
      </c>
      <c r="L51" s="59">
        <f t="shared" si="4"/>
        <v>0</v>
      </c>
      <c r="M51" s="59">
        <f t="shared" si="4"/>
        <v>0</v>
      </c>
      <c r="N51" s="59">
        <f t="shared" si="4"/>
        <v>0</v>
      </c>
      <c r="O51" s="59">
        <f t="shared" si="4"/>
        <v>0</v>
      </c>
      <c r="P51" s="59">
        <f t="shared" si="4"/>
        <v>0</v>
      </c>
      <c r="Q51" s="59">
        <f t="shared" si="4"/>
        <v>0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5">IFERROR(J50/I50-1,0)</f>
        <v>-1</v>
      </c>
      <c r="K52" s="57">
        <f t="shared" si="5"/>
        <v>0</v>
      </c>
      <c r="L52" s="57">
        <f t="shared" si="5"/>
        <v>0</v>
      </c>
      <c r="M52" s="57">
        <f t="shared" si="5"/>
        <v>0</v>
      </c>
      <c r="N52" s="57">
        <f t="shared" si="5"/>
        <v>0</v>
      </c>
      <c r="O52" s="57">
        <f t="shared" si="5"/>
        <v>0</v>
      </c>
      <c r="P52" s="57">
        <f t="shared" si="5"/>
        <v>0</v>
      </c>
      <c r="Q52" s="57">
        <f t="shared" si="5"/>
        <v>0</v>
      </c>
    </row>
    <row r="54" spans="2:17" x14ac:dyDescent="0.2">
      <c r="B54" s="20" t="s">
        <v>91</v>
      </c>
      <c r="H54" s="60">
        <v>-15</v>
      </c>
      <c r="I54" s="60">
        <v>-17</v>
      </c>
      <c r="J54" s="49"/>
      <c r="K54" s="49"/>
      <c r="L54" s="49"/>
      <c r="M54" s="49"/>
      <c r="N54" s="49"/>
      <c r="O54" s="49"/>
      <c r="P54" s="49"/>
      <c r="Q54" s="49"/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/>
      <c r="K55" s="51"/>
      <c r="L55" s="51"/>
      <c r="M55" s="51"/>
      <c r="N55" s="51"/>
      <c r="O55" s="51"/>
      <c r="P55" s="51"/>
      <c r="Q55" s="51"/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6">IFERROR(J55/J$47,0)</f>
        <v>0</v>
      </c>
      <c r="K56" s="59">
        <f t="shared" si="6"/>
        <v>0</v>
      </c>
      <c r="L56" s="59">
        <f t="shared" si="6"/>
        <v>0</v>
      </c>
      <c r="M56" s="59">
        <f t="shared" si="6"/>
        <v>0</v>
      </c>
      <c r="N56" s="59">
        <f t="shared" si="6"/>
        <v>0</v>
      </c>
      <c r="O56" s="59">
        <f t="shared" si="6"/>
        <v>0</v>
      </c>
      <c r="P56" s="59">
        <f t="shared" si="6"/>
        <v>0</v>
      </c>
      <c r="Q56" s="59">
        <f t="shared" si="6"/>
        <v>0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7">IFERROR(J55/I55-1,0)</f>
        <v>-1</v>
      </c>
      <c r="K57" s="57">
        <f t="shared" si="7"/>
        <v>0</v>
      </c>
      <c r="L57" s="57">
        <f t="shared" si="7"/>
        <v>0</v>
      </c>
      <c r="M57" s="57">
        <f t="shared" si="7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57">
        <f t="shared" si="7"/>
        <v>0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/>
      <c r="K60" s="51"/>
      <c r="L60" s="51"/>
      <c r="M60" s="51"/>
      <c r="N60" s="51"/>
      <c r="O60" s="51"/>
      <c r="P60" s="51"/>
      <c r="Q60" s="51"/>
    </row>
    <row r="61" spans="2:17" x14ac:dyDescent="0.2">
      <c r="B61" s="20"/>
    </row>
    <row r="62" spans="2:17" x14ac:dyDescent="0.2">
      <c r="B62" s="20" t="s">
        <v>96</v>
      </c>
      <c r="J62" s="49"/>
      <c r="K62" s="49"/>
      <c r="L62" s="49"/>
      <c r="M62" s="49"/>
      <c r="N62" s="49"/>
      <c r="O62" s="49"/>
      <c r="P62" s="49"/>
      <c r="Q62" s="49"/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/>
      <c r="K63" s="51"/>
      <c r="L63" s="51"/>
      <c r="M63" s="51"/>
      <c r="N63" s="51"/>
      <c r="O63" s="51"/>
      <c r="P63" s="51"/>
      <c r="Q63" s="51"/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8">IFERROR(J63/J$47,0)</f>
        <v>0</v>
      </c>
      <c r="K64" s="59">
        <f t="shared" si="8"/>
        <v>0</v>
      </c>
      <c r="L64" s="59">
        <f t="shared" si="8"/>
        <v>0</v>
      </c>
      <c r="M64" s="59">
        <f t="shared" si="8"/>
        <v>0</v>
      </c>
      <c r="N64" s="59">
        <f t="shared" si="8"/>
        <v>0</v>
      </c>
      <c r="O64" s="59">
        <f t="shared" si="8"/>
        <v>0</v>
      </c>
      <c r="P64" s="59">
        <f t="shared" si="8"/>
        <v>0</v>
      </c>
      <c r="Q64" s="59">
        <f t="shared" si="8"/>
        <v>0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9">IFERROR(J63/I63-1,0)</f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0">O69</f>
        <v>0.04</v>
      </c>
      <c r="Q69" s="61">
        <f t="shared" si="10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1">J70</f>
        <v>0.4</v>
      </c>
      <c r="L70" s="61">
        <f t="shared" si="11"/>
        <v>0.4</v>
      </c>
      <c r="M70" s="61">
        <f t="shared" si="11"/>
        <v>0.4</v>
      </c>
      <c r="N70" s="61">
        <f t="shared" si="11"/>
        <v>0.4</v>
      </c>
      <c r="O70" s="61">
        <f t="shared" si="11"/>
        <v>0.4</v>
      </c>
      <c r="P70" s="61">
        <f t="shared" si="11"/>
        <v>0.4</v>
      </c>
      <c r="Q70" s="61">
        <f t="shared" si="11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1"/>
        <v>0.26315789473684209</v>
      </c>
      <c r="L71" s="62">
        <f t="shared" si="11"/>
        <v>0.26315789473684209</v>
      </c>
      <c r="M71" s="62">
        <f t="shared" si="11"/>
        <v>0.26315789473684209</v>
      </c>
      <c r="N71" s="62">
        <f t="shared" si="11"/>
        <v>0.26315789473684209</v>
      </c>
      <c r="O71" s="62">
        <f t="shared" si="11"/>
        <v>0.26315789473684209</v>
      </c>
      <c r="P71" s="62">
        <f t="shared" si="11"/>
        <v>0.26315789473684209</v>
      </c>
      <c r="Q71" s="62">
        <f t="shared" si="11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1"/>
        <v>4.9707602339181284E-2</v>
      </c>
      <c r="L72" s="62">
        <f t="shared" si="11"/>
        <v>4.9707602339181284E-2</v>
      </c>
      <c r="M72" s="62">
        <f t="shared" si="11"/>
        <v>4.9707602339181284E-2</v>
      </c>
      <c r="N72" s="62">
        <f t="shared" si="11"/>
        <v>4.9707602339181284E-2</v>
      </c>
      <c r="O72" s="62">
        <f t="shared" si="11"/>
        <v>4.9707602339181284E-2</v>
      </c>
      <c r="P72" s="62">
        <f t="shared" si="11"/>
        <v>4.9707602339181284E-2</v>
      </c>
      <c r="Q72" s="62">
        <f t="shared" si="11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1"/>
        <v>4.9707602339181284E-2</v>
      </c>
      <c r="L73" s="76">
        <f t="shared" si="11"/>
        <v>4.9707602339181284E-2</v>
      </c>
      <c r="M73" s="76">
        <f t="shared" si="11"/>
        <v>4.9707602339181284E-2</v>
      </c>
      <c r="N73" s="76">
        <f t="shared" si="11"/>
        <v>4.9707602339181284E-2</v>
      </c>
      <c r="O73" s="76">
        <f t="shared" si="11"/>
        <v>4.9707602339181284E-2</v>
      </c>
      <c r="P73" s="76">
        <f t="shared" si="11"/>
        <v>4.9707602339181284E-2</v>
      </c>
      <c r="Q73" s="76">
        <f t="shared" si="11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/>
      <c r="J89" s="93"/>
      <c r="K89" s="93"/>
      <c r="L89" s="93"/>
      <c r="M89" s="93"/>
      <c r="N89" s="93"/>
      <c r="O89" s="93"/>
      <c r="P89" s="93"/>
      <c r="Q89" s="93"/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/>
      <c r="J90" s="94"/>
      <c r="K90" s="94"/>
      <c r="L90" s="94"/>
      <c r="M90" s="94"/>
      <c r="N90" s="94"/>
      <c r="O90" s="94"/>
      <c r="P90" s="94"/>
      <c r="Q90" s="94"/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/>
      <c r="J91" s="95"/>
      <c r="K91" s="95"/>
      <c r="L91" s="95"/>
      <c r="M91" s="95"/>
      <c r="N91" s="95"/>
      <c r="O91" s="95"/>
      <c r="P91" s="95"/>
      <c r="Q91" s="95"/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/>
      <c r="J95" s="76"/>
      <c r="K95" s="76"/>
      <c r="L95" s="76"/>
      <c r="M95" s="76"/>
      <c r="N95" s="76"/>
      <c r="O95" s="76"/>
      <c r="P95" s="76"/>
      <c r="Q95" s="76"/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/>
      <c r="J99" s="72"/>
      <c r="K99" s="72"/>
      <c r="L99" s="72"/>
      <c r="M99" s="72"/>
      <c r="N99" s="72"/>
      <c r="O99" s="72"/>
      <c r="P99" s="72"/>
      <c r="Q99" s="72"/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/>
      <c r="J101" s="51"/>
      <c r="K101" s="51"/>
      <c r="L101" s="51"/>
      <c r="M101" s="51"/>
      <c r="N101" s="51"/>
      <c r="O101" s="51"/>
      <c r="P101" s="51"/>
      <c r="Q101" s="51"/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/>
      <c r="J106" s="51"/>
      <c r="K106" s="51"/>
      <c r="L106" s="51"/>
      <c r="M106" s="51"/>
      <c r="N106" s="51"/>
      <c r="O106" s="51"/>
      <c r="P106" s="51"/>
      <c r="Q106" s="51"/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2:17" x14ac:dyDescent="0.2">
      <c r="C109" s="3" t="s">
        <v>124</v>
      </c>
      <c r="J109" s="49"/>
      <c r="K109" s="49"/>
      <c r="L109" s="49"/>
      <c r="M109" s="49"/>
      <c r="N109" s="49"/>
      <c r="O109" s="49"/>
      <c r="P109" s="49"/>
      <c r="Q109" s="49"/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/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/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/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12">ROUND(J140,3) = ROUND(J127,3)</f>
        <v>1</v>
      </c>
      <c r="K141" s="91" t="b">
        <f t="shared" si="12"/>
        <v>1</v>
      </c>
      <c r="L141" s="91" t="b">
        <f t="shared" si="12"/>
        <v>1</v>
      </c>
      <c r="M141" s="91" t="b">
        <f t="shared" si="12"/>
        <v>1</v>
      </c>
      <c r="N141" s="91" t="b">
        <f t="shared" si="12"/>
        <v>1</v>
      </c>
      <c r="O141" s="91" t="b">
        <f t="shared" si="12"/>
        <v>1</v>
      </c>
      <c r="P141" s="91" t="b">
        <f t="shared" si="12"/>
        <v>1</v>
      </c>
      <c r="Q141" s="91" t="b">
        <f t="shared" si="12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/>
      <c r="K151" s="72"/>
      <c r="L151" s="72"/>
      <c r="M151" s="72"/>
      <c r="N151" s="72"/>
      <c r="O151" s="72"/>
      <c r="P151" s="72"/>
      <c r="Q151" s="72"/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/>
      <c r="K154" s="51"/>
      <c r="L154" s="51"/>
      <c r="M154" s="51"/>
      <c r="N154" s="51"/>
      <c r="O154" s="51"/>
      <c r="P154" s="51"/>
      <c r="Q154" s="51"/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/>
      <c r="K155" s="50"/>
      <c r="L155" s="50"/>
      <c r="M155" s="50"/>
      <c r="N155" s="50"/>
      <c r="O155" s="50"/>
      <c r="P155" s="50"/>
      <c r="Q155" s="50"/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/>
      <c r="K156" s="51"/>
      <c r="L156" s="51"/>
      <c r="M156" s="51"/>
      <c r="N156" s="51"/>
      <c r="O156" s="51"/>
      <c r="P156" s="51"/>
      <c r="Q156" s="51"/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/>
      <c r="K159" s="72"/>
      <c r="L159" s="72"/>
      <c r="M159" s="72"/>
      <c r="N159" s="72"/>
      <c r="O159" s="72"/>
      <c r="P159" s="72"/>
      <c r="Q159" s="72"/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/>
      <c r="K160" s="73"/>
      <c r="L160" s="73"/>
      <c r="M160" s="73"/>
      <c r="N160" s="73"/>
      <c r="O160" s="73"/>
      <c r="P160" s="73"/>
      <c r="Q160" s="73"/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/>
      <c r="K161" s="51"/>
      <c r="L161" s="51"/>
      <c r="M161" s="51"/>
      <c r="N161" s="51"/>
      <c r="O161" s="51"/>
      <c r="P161" s="51"/>
      <c r="Q161" s="51"/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/>
      <c r="K163" s="82"/>
      <c r="L163" s="82"/>
      <c r="M163" s="82"/>
      <c r="N163" s="82"/>
      <c r="O163" s="82"/>
      <c r="P163" s="82"/>
      <c r="Q163" s="82"/>
    </row>
    <row r="164" spans="1:24" x14ac:dyDescent="0.2">
      <c r="B164" s="20" t="s">
        <v>136</v>
      </c>
      <c r="J164" s="50"/>
      <c r="K164" s="50"/>
      <c r="L164" s="50"/>
      <c r="M164" s="50"/>
      <c r="N164" s="50"/>
      <c r="O164" s="50"/>
      <c r="P164" s="50"/>
      <c r="Q164" s="50"/>
    </row>
    <row r="165" spans="1:24" x14ac:dyDescent="0.2">
      <c r="B165" s="20"/>
    </row>
    <row r="166" spans="1:24" x14ac:dyDescent="0.2">
      <c r="B166" s="20" t="s">
        <v>143</v>
      </c>
      <c r="J166" s="49"/>
      <c r="K166" s="49"/>
      <c r="L166" s="49"/>
      <c r="M166" s="49"/>
      <c r="N166" s="49"/>
      <c r="O166" s="49"/>
      <c r="P166" s="49"/>
      <c r="Q166" s="49"/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/>
      <c r="K170" s="82"/>
      <c r="L170" s="82"/>
      <c r="M170" s="82"/>
      <c r="N170" s="82"/>
      <c r="O170" s="82"/>
      <c r="P170" s="82"/>
      <c r="Q170" s="82"/>
    </row>
    <row r="171" spans="1:24" x14ac:dyDescent="0.2">
      <c r="B171" s="20" t="s">
        <v>145</v>
      </c>
      <c r="G171" s="99">
        <f>H35</f>
        <v>2.5000000000000001E-3</v>
      </c>
      <c r="J171" s="50"/>
      <c r="K171" s="50"/>
      <c r="L171" s="50"/>
      <c r="M171" s="50"/>
      <c r="N171" s="50"/>
      <c r="O171" s="50"/>
      <c r="P171" s="50"/>
      <c r="Q171" s="50"/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13">J$116</f>
        <v>43100</v>
      </c>
      <c r="K177" s="54">
        <f t="shared" si="13"/>
        <v>43465</v>
      </c>
      <c r="L177" s="54">
        <f t="shared" si="13"/>
        <v>43830</v>
      </c>
      <c r="M177" s="54">
        <f t="shared" si="13"/>
        <v>44196</v>
      </c>
      <c r="N177" s="54">
        <f t="shared" si="13"/>
        <v>44561</v>
      </c>
      <c r="O177" s="54">
        <f t="shared" si="13"/>
        <v>44926</v>
      </c>
      <c r="P177" s="54">
        <f t="shared" si="13"/>
        <v>45291</v>
      </c>
      <c r="Q177" s="54">
        <f t="shared" si="13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2:17" x14ac:dyDescent="0.2">
      <c r="C186" s="8" t="s">
        <v>168</v>
      </c>
      <c r="J186" s="57">
        <f>IFERROR(J185/$I185,0)</f>
        <v>0</v>
      </c>
      <c r="K186" s="57">
        <f t="shared" ref="K186:Q186" si="14">IFERROR(K185/$I185,0)</f>
        <v>0</v>
      </c>
      <c r="L186" s="57">
        <f t="shared" si="14"/>
        <v>0</v>
      </c>
      <c r="M186" s="57">
        <f t="shared" si="14"/>
        <v>0</v>
      </c>
      <c r="N186" s="57">
        <f t="shared" si="14"/>
        <v>0</v>
      </c>
      <c r="O186" s="57">
        <f t="shared" si="14"/>
        <v>0</v>
      </c>
      <c r="P186" s="57">
        <f t="shared" si="14"/>
        <v>0</v>
      </c>
      <c r="Q186" s="57">
        <f t="shared" si="14"/>
        <v>0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/>
      <c r="K191" s="102"/>
      <c r="L191" s="102"/>
      <c r="M191" s="102"/>
      <c r="N191" s="102"/>
      <c r="O191" s="102"/>
      <c r="P191" s="102"/>
      <c r="Q191" s="102"/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15">K194</f>
        <v>0</v>
      </c>
      <c r="M194" s="61">
        <f t="shared" si="15"/>
        <v>0</v>
      </c>
      <c r="N194" s="61">
        <f t="shared" si="15"/>
        <v>0</v>
      </c>
      <c r="O194" s="61">
        <f t="shared" si="15"/>
        <v>0</v>
      </c>
      <c r="P194" s="61">
        <f t="shared" si="15"/>
        <v>0</v>
      </c>
      <c r="Q194" s="61">
        <f t="shared" si="15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16">J195</f>
        <v>0.01</v>
      </c>
      <c r="L195" s="62">
        <f t="shared" si="16"/>
        <v>0.01</v>
      </c>
      <c r="M195" s="62">
        <f t="shared" si="16"/>
        <v>0.01</v>
      </c>
      <c r="N195" s="62">
        <f t="shared" si="16"/>
        <v>0.01</v>
      </c>
      <c r="O195" s="62">
        <f t="shared" si="16"/>
        <v>0.01</v>
      </c>
      <c r="P195" s="62">
        <f t="shared" si="16"/>
        <v>0.01</v>
      </c>
      <c r="Q195" s="62">
        <f t="shared" si="16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16"/>
        <v>0</v>
      </c>
      <c r="L196" s="62">
        <f t="shared" si="16"/>
        <v>0</v>
      </c>
      <c r="M196" s="62">
        <f t="shared" si="16"/>
        <v>0</v>
      </c>
      <c r="N196" s="62">
        <f t="shared" si="16"/>
        <v>0</v>
      </c>
      <c r="O196" s="62">
        <f t="shared" si="16"/>
        <v>0</v>
      </c>
      <c r="P196" s="62">
        <f t="shared" si="16"/>
        <v>0</v>
      </c>
      <c r="Q196" s="62">
        <f t="shared" si="16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16"/>
        <v>0</v>
      </c>
      <c r="L197" s="76">
        <f t="shared" si="16"/>
        <v>0</v>
      </c>
      <c r="M197" s="76">
        <f t="shared" si="16"/>
        <v>0</v>
      </c>
      <c r="N197" s="76">
        <f t="shared" si="16"/>
        <v>0</v>
      </c>
      <c r="O197" s="76">
        <f t="shared" si="16"/>
        <v>0</v>
      </c>
      <c r="P197" s="76">
        <f t="shared" si="16"/>
        <v>0</v>
      </c>
      <c r="Q197" s="76">
        <f t="shared" si="16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/>
      <c r="K202" s="72"/>
      <c r="L202" s="72"/>
      <c r="M202" s="72"/>
      <c r="N202" s="72"/>
      <c r="O202" s="72"/>
      <c r="P202" s="72"/>
      <c r="Q202" s="72"/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/>
      <c r="K203" s="73"/>
      <c r="L203" s="73"/>
      <c r="M203" s="73"/>
      <c r="N203" s="73"/>
      <c r="O203" s="73"/>
      <c r="P203" s="73"/>
      <c r="Q203" s="73"/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/>
      <c r="K204" s="51"/>
      <c r="L204" s="51"/>
      <c r="M204" s="51"/>
      <c r="N204" s="51"/>
      <c r="O204" s="51"/>
      <c r="P204" s="51"/>
      <c r="Q204" s="51"/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/>
      <c r="K206" s="102"/>
      <c r="L206" s="102"/>
      <c r="M206" s="102"/>
      <c r="N206" s="102"/>
      <c r="O206" s="102"/>
      <c r="P206" s="102"/>
      <c r="Q206" s="102"/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/>
      <c r="K209" s="82"/>
      <c r="L209" s="82"/>
      <c r="M209" s="82"/>
      <c r="N209" s="82"/>
      <c r="O209" s="82"/>
      <c r="P209" s="82"/>
      <c r="Q209" s="82"/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/>
      <c r="K211" s="72"/>
      <c r="L211" s="72"/>
      <c r="M211" s="72"/>
      <c r="N211" s="72"/>
      <c r="O211" s="72"/>
      <c r="P211" s="72"/>
      <c r="Q211" s="72"/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/>
      <c r="K212" s="72"/>
      <c r="L212" s="72"/>
      <c r="M212" s="72"/>
      <c r="N212" s="72"/>
      <c r="O212" s="72"/>
      <c r="P212" s="72"/>
      <c r="Q212" s="72"/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/>
      <c r="K213" s="51"/>
      <c r="L213" s="51"/>
      <c r="M213" s="51"/>
      <c r="N213" s="51"/>
      <c r="O213" s="51"/>
      <c r="P213" s="51"/>
      <c r="Q213" s="51"/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17">J$116</f>
        <v>43100</v>
      </c>
      <c r="K219" s="54">
        <f t="shared" si="17"/>
        <v>43465</v>
      </c>
      <c r="L219" s="54">
        <f t="shared" si="17"/>
        <v>43830</v>
      </c>
      <c r="M219" s="54">
        <f t="shared" si="17"/>
        <v>44196</v>
      </c>
      <c r="N219" s="54">
        <f t="shared" si="17"/>
        <v>44561</v>
      </c>
      <c r="O219" s="54">
        <f t="shared" si="17"/>
        <v>44926</v>
      </c>
      <c r="P219" s="54">
        <f t="shared" si="17"/>
        <v>45291</v>
      </c>
      <c r="Q219" s="54">
        <f t="shared" si="17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/>
      <c r="K228" s="72"/>
      <c r="L228" s="72"/>
      <c r="M228" s="72"/>
      <c r="N228" s="72"/>
      <c r="O228" s="72"/>
      <c r="P228" s="72"/>
      <c r="Q228" s="72"/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/>
      <c r="K229" s="73"/>
      <c r="L229" s="73"/>
      <c r="M229" s="73"/>
      <c r="N229" s="73"/>
      <c r="O229" s="73"/>
      <c r="P229" s="73"/>
      <c r="Q229" s="73"/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/>
      <c r="K232" s="108"/>
      <c r="L232" s="108"/>
      <c r="M232" s="108"/>
      <c r="N232" s="108"/>
      <c r="O232" s="108"/>
      <c r="P232" s="108"/>
      <c r="Q232" s="108"/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18">S10</f>
        <v>1</v>
      </c>
      <c r="H233" s="110">
        <f t="shared" si="18"/>
        <v>0.02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18"/>
        <v>1</v>
      </c>
      <c r="H234" s="109">
        <f t="shared" si="18"/>
        <v>0.03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18"/>
        <v>0</v>
      </c>
      <c r="H235" s="111">
        <f t="shared" si="18"/>
        <v>7.0000000000000007E-2</v>
      </c>
      <c r="I235" s="16"/>
      <c r="J235" s="111"/>
      <c r="K235" s="111"/>
      <c r="L235" s="111"/>
      <c r="M235" s="111"/>
      <c r="N235" s="111"/>
      <c r="O235" s="111"/>
      <c r="P235" s="111"/>
      <c r="Q235" s="111"/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18"/>
        <v>0</v>
      </c>
      <c r="H236" s="112">
        <f t="shared" si="18"/>
        <v>8.5000000000000006E-2</v>
      </c>
      <c r="I236" s="17"/>
      <c r="J236" s="112"/>
      <c r="K236" s="112"/>
      <c r="L236" s="112"/>
      <c r="M236" s="112"/>
      <c r="N236" s="112"/>
      <c r="O236" s="112"/>
      <c r="P236" s="112"/>
      <c r="Q236" s="112"/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/>
      <c r="K242" s="72"/>
      <c r="L242" s="72"/>
      <c r="M242" s="72"/>
      <c r="N242" s="72"/>
      <c r="O242" s="72"/>
      <c r="P242" s="72"/>
      <c r="Q242" s="72"/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/>
      <c r="K243" s="73"/>
      <c r="L243" s="73"/>
      <c r="M243" s="73"/>
      <c r="N243" s="73"/>
      <c r="O243" s="73"/>
      <c r="P243" s="73"/>
      <c r="Q243" s="73"/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/>
      <c r="K244" s="51"/>
      <c r="L244" s="51"/>
      <c r="M244" s="51"/>
      <c r="N244" s="51"/>
      <c r="O244" s="51"/>
      <c r="P244" s="51"/>
      <c r="Q244" s="51"/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9">V13</f>
        <v>3</v>
      </c>
      <c r="H248" s="17"/>
      <c r="I248" s="17"/>
      <c r="J248" s="73"/>
      <c r="K248" s="73"/>
      <c r="L248" s="73"/>
      <c r="M248" s="73"/>
      <c r="N248" s="73"/>
      <c r="O248" s="73"/>
      <c r="P248" s="73"/>
      <c r="Q248" s="73"/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/>
      <c r="K249" s="51"/>
      <c r="L249" s="51"/>
      <c r="M249" s="51"/>
      <c r="N249" s="51"/>
      <c r="O249" s="51"/>
      <c r="P249" s="51"/>
      <c r="Q249" s="51"/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/>
      <c r="K252" s="82"/>
      <c r="L252" s="82"/>
      <c r="M252" s="82"/>
      <c r="N252" s="82"/>
      <c r="O252" s="82"/>
      <c r="P252" s="82"/>
      <c r="Q252" s="82"/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/>
      <c r="K254" s="72"/>
      <c r="L254" s="72"/>
      <c r="M254" s="72"/>
      <c r="N254" s="72"/>
      <c r="O254" s="72"/>
      <c r="P254" s="72"/>
      <c r="Q254" s="72"/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/>
      <c r="K255" s="73"/>
      <c r="L255" s="73"/>
      <c r="M255" s="73"/>
      <c r="N255" s="73"/>
      <c r="O255" s="73"/>
      <c r="P255" s="73"/>
      <c r="Q255" s="73"/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/>
      <c r="K256" s="51"/>
      <c r="L256" s="51"/>
      <c r="M256" s="51"/>
      <c r="N256" s="51"/>
      <c r="O256" s="51"/>
      <c r="P256" s="51"/>
      <c r="Q256" s="51"/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/>
      <c r="K259" s="82"/>
      <c r="L259" s="82"/>
      <c r="M259" s="82"/>
      <c r="N259" s="82"/>
      <c r="O259" s="82"/>
      <c r="P259" s="82"/>
      <c r="Q259" s="82"/>
    </row>
    <row r="260" spans="1:24" x14ac:dyDescent="0.2">
      <c r="B260" s="20" t="s">
        <v>157</v>
      </c>
      <c r="J260" s="50"/>
      <c r="K260" s="50"/>
      <c r="L260" s="50"/>
      <c r="M260" s="50"/>
      <c r="N260" s="50"/>
      <c r="O260" s="50"/>
      <c r="P260" s="50"/>
      <c r="Q260" s="50"/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/>
      <c r="K261" s="51"/>
      <c r="L261" s="51"/>
      <c r="M261" s="51"/>
      <c r="N261" s="51"/>
      <c r="O261" s="51"/>
      <c r="P261" s="51"/>
      <c r="Q261" s="51"/>
    </row>
    <row r="262" spans="1:24" x14ac:dyDescent="0.2">
      <c r="B262" s="20" t="s">
        <v>159</v>
      </c>
      <c r="J262" s="50"/>
      <c r="K262" s="50"/>
      <c r="L262" s="50"/>
      <c r="M262" s="50"/>
      <c r="N262" s="50"/>
      <c r="O262" s="50"/>
      <c r="P262" s="50"/>
      <c r="Q262" s="50"/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/>
      <c r="K263" s="51"/>
      <c r="L263" s="51"/>
      <c r="M263" s="51"/>
      <c r="N263" s="51"/>
      <c r="O263" s="51"/>
      <c r="P263" s="51"/>
      <c r="Q263" s="51"/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/>
      <c r="K266" s="82"/>
      <c r="L266" s="82"/>
      <c r="M266" s="82"/>
      <c r="N266" s="82"/>
      <c r="O266" s="82"/>
      <c r="P266" s="82"/>
      <c r="Q266" s="82"/>
    </row>
    <row r="267" spans="1:24" x14ac:dyDescent="0.2">
      <c r="B267" s="20" t="s">
        <v>157</v>
      </c>
      <c r="J267" s="50"/>
      <c r="K267" s="50"/>
      <c r="L267" s="50"/>
      <c r="M267" s="50"/>
      <c r="N267" s="50"/>
      <c r="O267" s="50"/>
      <c r="P267" s="50"/>
      <c r="Q267" s="50"/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/>
      <c r="K268" s="51"/>
      <c r="L268" s="51"/>
      <c r="M268" s="51"/>
      <c r="N268" s="51"/>
      <c r="O268" s="51"/>
      <c r="P268" s="51"/>
      <c r="Q268" s="51"/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20">J$116</f>
        <v>43100</v>
      </c>
      <c r="K275" s="54">
        <f t="shared" si="20"/>
        <v>43465</v>
      </c>
      <c r="L275" s="54">
        <f t="shared" si="20"/>
        <v>43830</v>
      </c>
      <c r="M275" s="54">
        <f t="shared" si="20"/>
        <v>44196</v>
      </c>
      <c r="N275" s="54">
        <f t="shared" si="20"/>
        <v>44561</v>
      </c>
      <c r="O275" s="54">
        <f t="shared" si="20"/>
        <v>44926</v>
      </c>
      <c r="P275" s="54">
        <f t="shared" si="20"/>
        <v>45291</v>
      </c>
      <c r="Q275" s="54">
        <f t="shared" si="20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21">I$116</f>
        <v>42735</v>
      </c>
      <c r="J303" s="54">
        <f t="shared" ref="J303:Q303" si="22">J$116</f>
        <v>43100</v>
      </c>
      <c r="K303" s="54">
        <f t="shared" si="22"/>
        <v>43465</v>
      </c>
      <c r="L303" s="54">
        <f t="shared" si="22"/>
        <v>43830</v>
      </c>
      <c r="M303" s="54">
        <f t="shared" si="22"/>
        <v>44196</v>
      </c>
      <c r="N303" s="54">
        <f t="shared" si="22"/>
        <v>44561</v>
      </c>
      <c r="O303" s="54">
        <f t="shared" si="22"/>
        <v>44926</v>
      </c>
      <c r="P303" s="54">
        <f t="shared" si="22"/>
        <v>45291</v>
      </c>
      <c r="Q303" s="54">
        <f t="shared" si="22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  <ignoredErrors>
    <ignoredError sqref="Q25 Q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C32F-32D2-4B56-B4C5-2CB8DE6878EE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195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/>
      <c r="K47" s="51"/>
      <c r="L47" s="51"/>
      <c r="M47" s="51"/>
      <c r="N47" s="51"/>
      <c r="O47" s="51"/>
      <c r="P47" s="51"/>
      <c r="Q47" s="51"/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3">IFERROR(J47/I47-1,0)</f>
        <v>-1</v>
      </c>
      <c r="K48" s="57">
        <f t="shared" si="3"/>
        <v>0</v>
      </c>
      <c r="L48" s="57">
        <f t="shared" si="3"/>
        <v>0</v>
      </c>
      <c r="M48" s="57">
        <f t="shared" si="3"/>
        <v>0</v>
      </c>
      <c r="N48" s="57">
        <f t="shared" si="3"/>
        <v>0</v>
      </c>
      <c r="O48" s="57">
        <f t="shared" si="3"/>
        <v>0</v>
      </c>
      <c r="P48" s="57">
        <f t="shared" si="3"/>
        <v>0</v>
      </c>
      <c r="Q48" s="57">
        <f t="shared" si="3"/>
        <v>0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/>
      <c r="K50" s="51"/>
      <c r="L50" s="51"/>
      <c r="M50" s="51"/>
      <c r="N50" s="51"/>
      <c r="O50" s="51"/>
      <c r="P50" s="51"/>
      <c r="Q50" s="51"/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4">IFERROR(J50/J$47,0)</f>
        <v>0</v>
      </c>
      <c r="K51" s="59">
        <f t="shared" si="4"/>
        <v>0</v>
      </c>
      <c r="L51" s="59">
        <f t="shared" si="4"/>
        <v>0</v>
      </c>
      <c r="M51" s="59">
        <f t="shared" si="4"/>
        <v>0</v>
      </c>
      <c r="N51" s="59">
        <f t="shared" si="4"/>
        <v>0</v>
      </c>
      <c r="O51" s="59">
        <f t="shared" si="4"/>
        <v>0</v>
      </c>
      <c r="P51" s="59">
        <f t="shared" si="4"/>
        <v>0</v>
      </c>
      <c r="Q51" s="59">
        <f t="shared" si="4"/>
        <v>0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5">IFERROR(J50/I50-1,0)</f>
        <v>-1</v>
      </c>
      <c r="K52" s="57">
        <f t="shared" si="5"/>
        <v>0</v>
      </c>
      <c r="L52" s="57">
        <f t="shared" si="5"/>
        <v>0</v>
      </c>
      <c r="M52" s="57">
        <f t="shared" si="5"/>
        <v>0</v>
      </c>
      <c r="N52" s="57">
        <f t="shared" si="5"/>
        <v>0</v>
      </c>
      <c r="O52" s="57">
        <f t="shared" si="5"/>
        <v>0</v>
      </c>
      <c r="P52" s="57">
        <f t="shared" si="5"/>
        <v>0</v>
      </c>
      <c r="Q52" s="57">
        <f t="shared" si="5"/>
        <v>0</v>
      </c>
    </row>
    <row r="54" spans="2:17" x14ac:dyDescent="0.2">
      <c r="B54" s="20" t="s">
        <v>91</v>
      </c>
      <c r="H54" s="60">
        <v>-15</v>
      </c>
      <c r="I54" s="60">
        <v>-17</v>
      </c>
      <c r="J54" s="49"/>
      <c r="K54" s="49"/>
      <c r="L54" s="49"/>
      <c r="M54" s="49"/>
      <c r="N54" s="49"/>
      <c r="O54" s="49"/>
      <c r="P54" s="49"/>
      <c r="Q54" s="49"/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/>
      <c r="K55" s="51"/>
      <c r="L55" s="51"/>
      <c r="M55" s="51"/>
      <c r="N55" s="51"/>
      <c r="O55" s="51"/>
      <c r="P55" s="51"/>
      <c r="Q55" s="51"/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6">IFERROR(J55/J$47,0)</f>
        <v>0</v>
      </c>
      <c r="K56" s="59">
        <f t="shared" si="6"/>
        <v>0</v>
      </c>
      <c r="L56" s="59">
        <f t="shared" si="6"/>
        <v>0</v>
      </c>
      <c r="M56" s="59">
        <f t="shared" si="6"/>
        <v>0</v>
      </c>
      <c r="N56" s="59">
        <f t="shared" si="6"/>
        <v>0</v>
      </c>
      <c r="O56" s="59">
        <f t="shared" si="6"/>
        <v>0</v>
      </c>
      <c r="P56" s="59">
        <f t="shared" si="6"/>
        <v>0</v>
      </c>
      <c r="Q56" s="59">
        <f t="shared" si="6"/>
        <v>0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7">IFERROR(J55/I55-1,0)</f>
        <v>-1</v>
      </c>
      <c r="K57" s="57">
        <f t="shared" si="7"/>
        <v>0</v>
      </c>
      <c r="L57" s="57">
        <f t="shared" si="7"/>
        <v>0</v>
      </c>
      <c r="M57" s="57">
        <f t="shared" si="7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57">
        <f t="shared" si="7"/>
        <v>0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/>
      <c r="K60" s="51"/>
      <c r="L60" s="51"/>
      <c r="M60" s="51"/>
      <c r="N60" s="51"/>
      <c r="O60" s="51"/>
      <c r="P60" s="51"/>
      <c r="Q60" s="51"/>
    </row>
    <row r="61" spans="2:17" x14ac:dyDescent="0.2">
      <c r="B61" s="20"/>
    </row>
    <row r="62" spans="2:17" x14ac:dyDescent="0.2">
      <c r="B62" s="20" t="s">
        <v>96</v>
      </c>
      <c r="J62" s="49"/>
      <c r="K62" s="49"/>
      <c r="L62" s="49"/>
      <c r="M62" s="49"/>
      <c r="N62" s="49"/>
      <c r="O62" s="49"/>
      <c r="P62" s="49"/>
      <c r="Q62" s="49"/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/>
      <c r="K63" s="51"/>
      <c r="L63" s="51"/>
      <c r="M63" s="51"/>
      <c r="N63" s="51"/>
      <c r="O63" s="51"/>
      <c r="P63" s="51"/>
      <c r="Q63" s="51"/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8">IFERROR(J63/J$47,0)</f>
        <v>0</v>
      </c>
      <c r="K64" s="59">
        <f t="shared" si="8"/>
        <v>0</v>
      </c>
      <c r="L64" s="59">
        <f t="shared" si="8"/>
        <v>0</v>
      </c>
      <c r="M64" s="59">
        <f t="shared" si="8"/>
        <v>0</v>
      </c>
      <c r="N64" s="59">
        <f t="shared" si="8"/>
        <v>0</v>
      </c>
      <c r="O64" s="59">
        <f t="shared" si="8"/>
        <v>0</v>
      </c>
      <c r="P64" s="59">
        <f t="shared" si="8"/>
        <v>0</v>
      </c>
      <c r="Q64" s="59">
        <f t="shared" si="8"/>
        <v>0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9">IFERROR(J63/I63-1,0)</f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0">O69</f>
        <v>0.04</v>
      </c>
      <c r="Q69" s="61">
        <f t="shared" si="10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1">J70</f>
        <v>0.4</v>
      </c>
      <c r="L70" s="61">
        <f t="shared" si="11"/>
        <v>0.4</v>
      </c>
      <c r="M70" s="61">
        <f t="shared" si="11"/>
        <v>0.4</v>
      </c>
      <c r="N70" s="61">
        <f t="shared" si="11"/>
        <v>0.4</v>
      </c>
      <c r="O70" s="61">
        <f t="shared" si="11"/>
        <v>0.4</v>
      </c>
      <c r="P70" s="61">
        <f t="shared" si="11"/>
        <v>0.4</v>
      </c>
      <c r="Q70" s="61">
        <f t="shared" si="11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1"/>
        <v>0.26315789473684209</v>
      </c>
      <c r="L71" s="62">
        <f t="shared" si="11"/>
        <v>0.26315789473684209</v>
      </c>
      <c r="M71" s="62">
        <f t="shared" si="11"/>
        <v>0.26315789473684209</v>
      </c>
      <c r="N71" s="62">
        <f t="shared" si="11"/>
        <v>0.26315789473684209</v>
      </c>
      <c r="O71" s="62">
        <f t="shared" si="11"/>
        <v>0.26315789473684209</v>
      </c>
      <c r="P71" s="62">
        <f t="shared" si="11"/>
        <v>0.26315789473684209</v>
      </c>
      <c r="Q71" s="62">
        <f t="shared" si="11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1"/>
        <v>4.9707602339181284E-2</v>
      </c>
      <c r="L72" s="62">
        <f t="shared" si="11"/>
        <v>4.9707602339181284E-2</v>
      </c>
      <c r="M72" s="62">
        <f t="shared" si="11"/>
        <v>4.9707602339181284E-2</v>
      </c>
      <c r="N72" s="62">
        <f t="shared" si="11"/>
        <v>4.9707602339181284E-2</v>
      </c>
      <c r="O72" s="62">
        <f t="shared" si="11"/>
        <v>4.9707602339181284E-2</v>
      </c>
      <c r="P72" s="62">
        <f t="shared" si="11"/>
        <v>4.9707602339181284E-2</v>
      </c>
      <c r="Q72" s="62">
        <f t="shared" si="11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1"/>
        <v>4.9707602339181284E-2</v>
      </c>
      <c r="L73" s="76">
        <f t="shared" si="11"/>
        <v>4.9707602339181284E-2</v>
      </c>
      <c r="M73" s="76">
        <f t="shared" si="11"/>
        <v>4.9707602339181284E-2</v>
      </c>
      <c r="N73" s="76">
        <f t="shared" si="11"/>
        <v>4.9707602339181284E-2</v>
      </c>
      <c r="O73" s="76">
        <f t="shared" si="11"/>
        <v>4.9707602339181284E-2</v>
      </c>
      <c r="P73" s="76">
        <f t="shared" si="11"/>
        <v>4.9707602339181284E-2</v>
      </c>
      <c r="Q73" s="76">
        <f t="shared" si="11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/>
      <c r="J89" s="93"/>
      <c r="K89" s="93"/>
      <c r="L89" s="93"/>
      <c r="M89" s="93"/>
      <c r="N89" s="93"/>
      <c r="O89" s="93"/>
      <c r="P89" s="93"/>
      <c r="Q89" s="93"/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/>
      <c r="J90" s="94"/>
      <c r="K90" s="94"/>
      <c r="L90" s="94"/>
      <c r="M90" s="94"/>
      <c r="N90" s="94"/>
      <c r="O90" s="94"/>
      <c r="P90" s="94"/>
      <c r="Q90" s="94"/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/>
      <c r="J91" s="95"/>
      <c r="K91" s="95"/>
      <c r="L91" s="95"/>
      <c r="M91" s="95"/>
      <c r="N91" s="95"/>
      <c r="O91" s="95"/>
      <c r="P91" s="95"/>
      <c r="Q91" s="95"/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/>
      <c r="J95" s="76"/>
      <c r="K95" s="76"/>
      <c r="L95" s="76"/>
      <c r="M95" s="76"/>
      <c r="N95" s="76"/>
      <c r="O95" s="76"/>
      <c r="P95" s="76"/>
      <c r="Q95" s="76"/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/>
      <c r="J99" s="72"/>
      <c r="K99" s="72"/>
      <c r="L99" s="72"/>
      <c r="M99" s="72"/>
      <c r="N99" s="72"/>
      <c r="O99" s="72"/>
      <c r="P99" s="72"/>
      <c r="Q99" s="72"/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/>
      <c r="J101" s="51"/>
      <c r="K101" s="51"/>
      <c r="L101" s="51"/>
      <c r="M101" s="51"/>
      <c r="N101" s="51"/>
      <c r="O101" s="51"/>
      <c r="P101" s="51"/>
      <c r="Q101" s="51"/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/>
      <c r="J106" s="51"/>
      <c r="K106" s="51"/>
      <c r="L106" s="51"/>
      <c r="M106" s="51"/>
      <c r="N106" s="51"/>
      <c r="O106" s="51"/>
      <c r="P106" s="51"/>
      <c r="Q106" s="51"/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2:17" x14ac:dyDescent="0.2">
      <c r="C109" s="3" t="s">
        <v>124</v>
      </c>
      <c r="J109" s="49"/>
      <c r="K109" s="49"/>
      <c r="L109" s="49"/>
      <c r="M109" s="49"/>
      <c r="N109" s="49"/>
      <c r="O109" s="49"/>
      <c r="P109" s="49"/>
      <c r="Q109" s="49"/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/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/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/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12">ROUND(J140,3) = ROUND(J127,3)</f>
        <v>1</v>
      </c>
      <c r="K141" s="91" t="b">
        <f t="shared" si="12"/>
        <v>1</v>
      </c>
      <c r="L141" s="91" t="b">
        <f t="shared" si="12"/>
        <v>1</v>
      </c>
      <c r="M141" s="91" t="b">
        <f t="shared" si="12"/>
        <v>1</v>
      </c>
      <c r="N141" s="91" t="b">
        <f t="shared" si="12"/>
        <v>1</v>
      </c>
      <c r="O141" s="91" t="b">
        <f t="shared" si="12"/>
        <v>1</v>
      </c>
      <c r="P141" s="91" t="b">
        <f t="shared" si="12"/>
        <v>1</v>
      </c>
      <c r="Q141" s="91" t="b">
        <f t="shared" si="12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/>
      <c r="K151" s="72"/>
      <c r="L151" s="72"/>
      <c r="M151" s="72"/>
      <c r="N151" s="72"/>
      <c r="O151" s="72"/>
      <c r="P151" s="72"/>
      <c r="Q151" s="72"/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/>
      <c r="K154" s="51"/>
      <c r="L154" s="51"/>
      <c r="M154" s="51"/>
      <c r="N154" s="51"/>
      <c r="O154" s="51"/>
      <c r="P154" s="51"/>
      <c r="Q154" s="51"/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/>
      <c r="K155" s="50"/>
      <c r="L155" s="50"/>
      <c r="M155" s="50"/>
      <c r="N155" s="50"/>
      <c r="O155" s="50"/>
      <c r="P155" s="50"/>
      <c r="Q155" s="50"/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/>
      <c r="K156" s="51"/>
      <c r="L156" s="51"/>
      <c r="M156" s="51"/>
      <c r="N156" s="51"/>
      <c r="O156" s="51"/>
      <c r="P156" s="51"/>
      <c r="Q156" s="51"/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/>
      <c r="K159" s="72"/>
      <c r="L159" s="72"/>
      <c r="M159" s="72"/>
      <c r="N159" s="72"/>
      <c r="O159" s="72"/>
      <c r="P159" s="72"/>
      <c r="Q159" s="72"/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/>
      <c r="K160" s="73"/>
      <c r="L160" s="73"/>
      <c r="M160" s="73"/>
      <c r="N160" s="73"/>
      <c r="O160" s="73"/>
      <c r="P160" s="73"/>
      <c r="Q160" s="73"/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/>
      <c r="K161" s="51"/>
      <c r="L161" s="51"/>
      <c r="M161" s="51"/>
      <c r="N161" s="51"/>
      <c r="O161" s="51"/>
      <c r="P161" s="51"/>
      <c r="Q161" s="51"/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/>
      <c r="K163" s="82"/>
      <c r="L163" s="82"/>
      <c r="M163" s="82"/>
      <c r="N163" s="82"/>
      <c r="O163" s="82"/>
      <c r="P163" s="82"/>
      <c r="Q163" s="82"/>
    </row>
    <row r="164" spans="1:24" x14ac:dyDescent="0.2">
      <c r="B164" s="20" t="s">
        <v>136</v>
      </c>
      <c r="J164" s="50"/>
      <c r="K164" s="50"/>
      <c r="L164" s="50"/>
      <c r="M164" s="50"/>
      <c r="N164" s="50"/>
      <c r="O164" s="50"/>
      <c r="P164" s="50"/>
      <c r="Q164" s="50"/>
    </row>
    <row r="165" spans="1:24" x14ac:dyDescent="0.2">
      <c r="B165" s="20"/>
    </row>
    <row r="166" spans="1:24" x14ac:dyDescent="0.2">
      <c r="B166" s="20" t="s">
        <v>143</v>
      </c>
      <c r="J166" s="49"/>
      <c r="K166" s="49"/>
      <c r="L166" s="49"/>
      <c r="M166" s="49"/>
      <c r="N166" s="49"/>
      <c r="O166" s="49"/>
      <c r="P166" s="49"/>
      <c r="Q166" s="49"/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/>
      <c r="K170" s="82"/>
      <c r="L170" s="82"/>
      <c r="M170" s="82"/>
      <c r="N170" s="82"/>
      <c r="O170" s="82"/>
      <c r="P170" s="82"/>
      <c r="Q170" s="82"/>
    </row>
    <row r="171" spans="1:24" x14ac:dyDescent="0.2">
      <c r="B171" s="20" t="s">
        <v>145</v>
      </c>
      <c r="G171" s="99">
        <f>H35</f>
        <v>2.5000000000000001E-3</v>
      </c>
      <c r="J171" s="50"/>
      <c r="K171" s="50"/>
      <c r="L171" s="50"/>
      <c r="M171" s="50"/>
      <c r="N171" s="50"/>
      <c r="O171" s="50"/>
      <c r="P171" s="50"/>
      <c r="Q171" s="50"/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13">J$116</f>
        <v>43100</v>
      </c>
      <c r="K177" s="54">
        <f t="shared" si="13"/>
        <v>43465</v>
      </c>
      <c r="L177" s="54">
        <f t="shared" si="13"/>
        <v>43830</v>
      </c>
      <c r="M177" s="54">
        <f t="shared" si="13"/>
        <v>44196</v>
      </c>
      <c r="N177" s="54">
        <f t="shared" si="13"/>
        <v>44561</v>
      </c>
      <c r="O177" s="54">
        <f t="shared" si="13"/>
        <v>44926</v>
      </c>
      <c r="P177" s="54">
        <f t="shared" si="13"/>
        <v>45291</v>
      </c>
      <c r="Q177" s="54">
        <f t="shared" si="13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2:17" x14ac:dyDescent="0.2">
      <c r="C186" s="8" t="s">
        <v>168</v>
      </c>
      <c r="J186" s="57">
        <f>IFERROR(J185/$I185,0)</f>
        <v>0</v>
      </c>
      <c r="K186" s="57">
        <f t="shared" ref="K186:Q186" si="14">IFERROR(K185/$I185,0)</f>
        <v>0</v>
      </c>
      <c r="L186" s="57">
        <f t="shared" si="14"/>
        <v>0</v>
      </c>
      <c r="M186" s="57">
        <f t="shared" si="14"/>
        <v>0</v>
      </c>
      <c r="N186" s="57">
        <f t="shared" si="14"/>
        <v>0</v>
      </c>
      <c r="O186" s="57">
        <f t="shared" si="14"/>
        <v>0</v>
      </c>
      <c r="P186" s="57">
        <f t="shared" si="14"/>
        <v>0</v>
      </c>
      <c r="Q186" s="57">
        <f t="shared" si="14"/>
        <v>0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/>
      <c r="K191" s="102"/>
      <c r="L191" s="102"/>
      <c r="M191" s="102"/>
      <c r="N191" s="102"/>
      <c r="O191" s="102"/>
      <c r="P191" s="102"/>
      <c r="Q191" s="102"/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15">K194</f>
        <v>0</v>
      </c>
      <c r="M194" s="61">
        <f t="shared" si="15"/>
        <v>0</v>
      </c>
      <c r="N194" s="61">
        <f t="shared" si="15"/>
        <v>0</v>
      </c>
      <c r="O194" s="61">
        <f t="shared" si="15"/>
        <v>0</v>
      </c>
      <c r="P194" s="61">
        <f t="shared" si="15"/>
        <v>0</v>
      </c>
      <c r="Q194" s="61">
        <f t="shared" si="15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16">J195</f>
        <v>0.01</v>
      </c>
      <c r="L195" s="62">
        <f t="shared" si="16"/>
        <v>0.01</v>
      </c>
      <c r="M195" s="62">
        <f t="shared" si="16"/>
        <v>0.01</v>
      </c>
      <c r="N195" s="62">
        <f t="shared" si="16"/>
        <v>0.01</v>
      </c>
      <c r="O195" s="62">
        <f t="shared" si="16"/>
        <v>0.01</v>
      </c>
      <c r="P195" s="62">
        <f t="shared" si="16"/>
        <v>0.01</v>
      </c>
      <c r="Q195" s="62">
        <f t="shared" si="16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16"/>
        <v>0</v>
      </c>
      <c r="L196" s="62">
        <f t="shared" si="16"/>
        <v>0</v>
      </c>
      <c r="M196" s="62">
        <f t="shared" si="16"/>
        <v>0</v>
      </c>
      <c r="N196" s="62">
        <f t="shared" si="16"/>
        <v>0</v>
      </c>
      <c r="O196" s="62">
        <f t="shared" si="16"/>
        <v>0</v>
      </c>
      <c r="P196" s="62">
        <f t="shared" si="16"/>
        <v>0</v>
      </c>
      <c r="Q196" s="62">
        <f t="shared" si="16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16"/>
        <v>0</v>
      </c>
      <c r="L197" s="76">
        <f t="shared" si="16"/>
        <v>0</v>
      </c>
      <c r="M197" s="76">
        <f t="shared" si="16"/>
        <v>0</v>
      </c>
      <c r="N197" s="76">
        <f t="shared" si="16"/>
        <v>0</v>
      </c>
      <c r="O197" s="76">
        <f t="shared" si="16"/>
        <v>0</v>
      </c>
      <c r="P197" s="76">
        <f t="shared" si="16"/>
        <v>0</v>
      </c>
      <c r="Q197" s="76">
        <f t="shared" si="16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/>
      <c r="K202" s="72"/>
      <c r="L202" s="72"/>
      <c r="M202" s="72"/>
      <c r="N202" s="72"/>
      <c r="O202" s="72"/>
      <c r="P202" s="72"/>
      <c r="Q202" s="72"/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/>
      <c r="K203" s="73"/>
      <c r="L203" s="73"/>
      <c r="M203" s="73"/>
      <c r="N203" s="73"/>
      <c r="O203" s="73"/>
      <c r="P203" s="73"/>
      <c r="Q203" s="73"/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/>
      <c r="K204" s="51"/>
      <c r="L204" s="51"/>
      <c r="M204" s="51"/>
      <c r="N204" s="51"/>
      <c r="O204" s="51"/>
      <c r="P204" s="51"/>
      <c r="Q204" s="51"/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/>
      <c r="K206" s="102"/>
      <c r="L206" s="102"/>
      <c r="M206" s="102"/>
      <c r="N206" s="102"/>
      <c r="O206" s="102"/>
      <c r="P206" s="102"/>
      <c r="Q206" s="102"/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/>
      <c r="K209" s="82"/>
      <c r="L209" s="82"/>
      <c r="M209" s="82"/>
      <c r="N209" s="82"/>
      <c r="O209" s="82"/>
      <c r="P209" s="82"/>
      <c r="Q209" s="82"/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/>
      <c r="K211" s="72"/>
      <c r="L211" s="72"/>
      <c r="M211" s="72"/>
      <c r="N211" s="72"/>
      <c r="O211" s="72"/>
      <c r="P211" s="72"/>
      <c r="Q211" s="72"/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/>
      <c r="K212" s="72"/>
      <c r="L212" s="72"/>
      <c r="M212" s="72"/>
      <c r="N212" s="72"/>
      <c r="O212" s="72"/>
      <c r="P212" s="72"/>
      <c r="Q212" s="72"/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/>
      <c r="K213" s="51"/>
      <c r="L213" s="51"/>
      <c r="M213" s="51"/>
      <c r="N213" s="51"/>
      <c r="O213" s="51"/>
      <c r="P213" s="51"/>
      <c r="Q213" s="51"/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17">J$116</f>
        <v>43100</v>
      </c>
      <c r="K219" s="54">
        <f t="shared" si="17"/>
        <v>43465</v>
      </c>
      <c r="L219" s="54">
        <f t="shared" si="17"/>
        <v>43830</v>
      </c>
      <c r="M219" s="54">
        <f t="shared" si="17"/>
        <v>44196</v>
      </c>
      <c r="N219" s="54">
        <f t="shared" si="17"/>
        <v>44561</v>
      </c>
      <c r="O219" s="54">
        <f t="shared" si="17"/>
        <v>44926</v>
      </c>
      <c r="P219" s="54">
        <f t="shared" si="17"/>
        <v>45291</v>
      </c>
      <c r="Q219" s="54">
        <f t="shared" si="17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/>
      <c r="K228" s="72"/>
      <c r="L228" s="72"/>
      <c r="M228" s="72"/>
      <c r="N228" s="72"/>
      <c r="O228" s="72"/>
      <c r="P228" s="72"/>
      <c r="Q228" s="72"/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/>
      <c r="K229" s="73"/>
      <c r="L229" s="73"/>
      <c r="M229" s="73"/>
      <c r="N229" s="73"/>
      <c r="O229" s="73"/>
      <c r="P229" s="73"/>
      <c r="Q229" s="73"/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/>
      <c r="K232" s="108"/>
      <c r="L232" s="108"/>
      <c r="M232" s="108"/>
      <c r="N232" s="108"/>
      <c r="O232" s="108"/>
      <c r="P232" s="108"/>
      <c r="Q232" s="108"/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18">S10</f>
        <v>1</v>
      </c>
      <c r="H233" s="110">
        <f t="shared" si="18"/>
        <v>0.02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18"/>
        <v>1</v>
      </c>
      <c r="H234" s="109">
        <f t="shared" si="18"/>
        <v>0.03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18"/>
        <v>0</v>
      </c>
      <c r="H235" s="111">
        <f t="shared" si="18"/>
        <v>7.0000000000000007E-2</v>
      </c>
      <c r="I235" s="16"/>
      <c r="J235" s="111"/>
      <c r="K235" s="111"/>
      <c r="L235" s="111"/>
      <c r="M235" s="111"/>
      <c r="N235" s="111"/>
      <c r="O235" s="111"/>
      <c r="P235" s="111"/>
      <c r="Q235" s="111"/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18"/>
        <v>0</v>
      </c>
      <c r="H236" s="112">
        <f t="shared" si="18"/>
        <v>8.5000000000000006E-2</v>
      </c>
      <c r="I236" s="17"/>
      <c r="J236" s="112"/>
      <c r="K236" s="112"/>
      <c r="L236" s="112"/>
      <c r="M236" s="112"/>
      <c r="N236" s="112"/>
      <c r="O236" s="112"/>
      <c r="P236" s="112"/>
      <c r="Q236" s="112"/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/>
      <c r="K242" s="72"/>
      <c r="L242" s="72"/>
      <c r="M242" s="72"/>
      <c r="N242" s="72"/>
      <c r="O242" s="72"/>
      <c r="P242" s="72"/>
      <c r="Q242" s="72"/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/>
      <c r="K243" s="73"/>
      <c r="L243" s="73"/>
      <c r="M243" s="73"/>
      <c r="N243" s="73"/>
      <c r="O243" s="73"/>
      <c r="P243" s="73"/>
      <c r="Q243" s="73"/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/>
      <c r="K244" s="51"/>
      <c r="L244" s="51"/>
      <c r="M244" s="51"/>
      <c r="N244" s="51"/>
      <c r="O244" s="51"/>
      <c r="P244" s="51"/>
      <c r="Q244" s="51"/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9">V13</f>
        <v>3</v>
      </c>
      <c r="H248" s="17"/>
      <c r="I248" s="17"/>
      <c r="J248" s="73"/>
      <c r="K248" s="73"/>
      <c r="L248" s="73"/>
      <c r="M248" s="73"/>
      <c r="N248" s="73"/>
      <c r="O248" s="73"/>
      <c r="P248" s="73"/>
      <c r="Q248" s="73"/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/>
      <c r="K249" s="51"/>
      <c r="L249" s="51"/>
      <c r="M249" s="51"/>
      <c r="N249" s="51"/>
      <c r="O249" s="51"/>
      <c r="P249" s="51"/>
      <c r="Q249" s="51"/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/>
      <c r="K252" s="82"/>
      <c r="L252" s="82"/>
      <c r="M252" s="82"/>
      <c r="N252" s="82"/>
      <c r="O252" s="82"/>
      <c r="P252" s="82"/>
      <c r="Q252" s="82"/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/>
      <c r="K254" s="72"/>
      <c r="L254" s="72"/>
      <c r="M254" s="72"/>
      <c r="N254" s="72"/>
      <c r="O254" s="72"/>
      <c r="P254" s="72"/>
      <c r="Q254" s="72"/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/>
      <c r="K255" s="73"/>
      <c r="L255" s="73"/>
      <c r="M255" s="73"/>
      <c r="N255" s="73"/>
      <c r="O255" s="73"/>
      <c r="P255" s="73"/>
      <c r="Q255" s="73"/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/>
      <c r="K256" s="51"/>
      <c r="L256" s="51"/>
      <c r="M256" s="51"/>
      <c r="N256" s="51"/>
      <c r="O256" s="51"/>
      <c r="P256" s="51"/>
      <c r="Q256" s="51"/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/>
      <c r="K259" s="82"/>
      <c r="L259" s="82"/>
      <c r="M259" s="82"/>
      <c r="N259" s="82"/>
      <c r="O259" s="82"/>
      <c r="P259" s="82"/>
      <c r="Q259" s="82"/>
    </row>
    <row r="260" spans="1:24" x14ac:dyDescent="0.2">
      <c r="B260" s="20" t="s">
        <v>157</v>
      </c>
      <c r="J260" s="50"/>
      <c r="K260" s="50"/>
      <c r="L260" s="50"/>
      <c r="M260" s="50"/>
      <c r="N260" s="50"/>
      <c r="O260" s="50"/>
      <c r="P260" s="50"/>
      <c r="Q260" s="50"/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/>
      <c r="K261" s="51"/>
      <c r="L261" s="51"/>
      <c r="M261" s="51"/>
      <c r="N261" s="51"/>
      <c r="O261" s="51"/>
      <c r="P261" s="51"/>
      <c r="Q261" s="51"/>
    </row>
    <row r="262" spans="1:24" x14ac:dyDescent="0.2">
      <c r="B262" s="20" t="s">
        <v>159</v>
      </c>
      <c r="J262" s="50"/>
      <c r="K262" s="50"/>
      <c r="L262" s="50"/>
      <c r="M262" s="50"/>
      <c r="N262" s="50"/>
      <c r="O262" s="50"/>
      <c r="P262" s="50"/>
      <c r="Q262" s="50"/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/>
      <c r="K263" s="51"/>
      <c r="L263" s="51"/>
      <c r="M263" s="51"/>
      <c r="N263" s="51"/>
      <c r="O263" s="51"/>
      <c r="P263" s="51"/>
      <c r="Q263" s="51"/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/>
      <c r="K266" s="82"/>
      <c r="L266" s="82"/>
      <c r="M266" s="82"/>
      <c r="N266" s="82"/>
      <c r="O266" s="82"/>
      <c r="P266" s="82"/>
      <c r="Q266" s="82"/>
    </row>
    <row r="267" spans="1:24" x14ac:dyDescent="0.2">
      <c r="B267" s="20" t="s">
        <v>157</v>
      </c>
      <c r="J267" s="50"/>
      <c r="K267" s="50"/>
      <c r="L267" s="50"/>
      <c r="M267" s="50"/>
      <c r="N267" s="50"/>
      <c r="O267" s="50"/>
      <c r="P267" s="50"/>
      <c r="Q267" s="50"/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/>
      <c r="K268" s="51"/>
      <c r="L268" s="51"/>
      <c r="M268" s="51"/>
      <c r="N268" s="51"/>
      <c r="O268" s="51"/>
      <c r="P268" s="51"/>
      <c r="Q268" s="51"/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20">J$116</f>
        <v>43100</v>
      </c>
      <c r="K275" s="54">
        <f t="shared" si="20"/>
        <v>43465</v>
      </c>
      <c r="L275" s="54">
        <f t="shared" si="20"/>
        <v>43830</v>
      </c>
      <c r="M275" s="54">
        <f t="shared" si="20"/>
        <v>44196</v>
      </c>
      <c r="N275" s="54">
        <f t="shared" si="20"/>
        <v>44561</v>
      </c>
      <c r="O275" s="54">
        <f t="shared" si="20"/>
        <v>44926</v>
      </c>
      <c r="P275" s="54">
        <f t="shared" si="20"/>
        <v>45291</v>
      </c>
      <c r="Q275" s="54">
        <f t="shared" si="20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21">I$116</f>
        <v>42735</v>
      </c>
      <c r="J303" s="54">
        <f t="shared" ref="J303:Q303" si="22">J$116</f>
        <v>43100</v>
      </c>
      <c r="K303" s="54">
        <f t="shared" si="22"/>
        <v>43465</v>
      </c>
      <c r="L303" s="54">
        <f t="shared" si="22"/>
        <v>43830</v>
      </c>
      <c r="M303" s="54">
        <f t="shared" si="22"/>
        <v>44196</v>
      </c>
      <c r="N303" s="54">
        <f t="shared" si="22"/>
        <v>44561</v>
      </c>
      <c r="O303" s="54">
        <f t="shared" si="22"/>
        <v>44926</v>
      </c>
      <c r="P303" s="54">
        <f t="shared" si="22"/>
        <v>45291</v>
      </c>
      <c r="Q303" s="54">
        <f t="shared" si="22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8325F-3E63-43BE-AEFF-3BACFE2CCD61}">
  <dimension ref="A1:X365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194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-H126+H124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H136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COUNTIF(H140:Q140,FALSE)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 t="shared" ref="J47:Q47" si="3">I47*(1+J68)</f>
        <v>359.1</v>
      </c>
      <c r="K47" s="51">
        <f t="shared" si="3"/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 t="shared" ref="J50:Q50" si="5">J70*J47</f>
        <v>94.5</v>
      </c>
      <c r="K50" s="51">
        <f t="shared" si="5"/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 t="shared" ref="J54:Q54" si="8">-J47*J71</f>
        <v>-17.850000000000001</v>
      </c>
      <c r="K54" s="49">
        <f t="shared" si="8"/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>J59+J55</f>
        <v>76.650000000000006</v>
      </c>
      <c r="K60" s="51">
        <f t="shared" ref="K60:Q60" si="12">K59+K55</f>
        <v>81.248999999999995</v>
      </c>
      <c r="L60" s="51">
        <f t="shared" si="12"/>
        <v>86.936430000000016</v>
      </c>
      <c r="M60" s="51">
        <f t="shared" si="12"/>
        <v>92.152615800000007</v>
      </c>
      <c r="N60" s="51">
        <f t="shared" si="12"/>
        <v>96.760246590000008</v>
      </c>
      <c r="O60" s="51">
        <f t="shared" si="12"/>
        <v>100.63065645360001</v>
      </c>
      <c r="P60" s="51">
        <f t="shared" si="12"/>
        <v>104.655882711744</v>
      </c>
      <c r="Q60" s="51">
        <f t="shared" si="12"/>
        <v>108.84211802021377</v>
      </c>
    </row>
    <row r="61" spans="2:17" x14ac:dyDescent="0.2">
      <c r="B61" s="20"/>
    </row>
    <row r="62" spans="2:17" x14ac:dyDescent="0.2">
      <c r="B62" s="20" t="s">
        <v>96</v>
      </c>
      <c r="J62" s="49">
        <f>-J60*$H$36</f>
        <v>-26.827500000000001</v>
      </c>
      <c r="K62" s="49">
        <f t="shared" ref="K62:Q62" si="13">-K60*$H$36</f>
        <v>-28.437149999999995</v>
      </c>
      <c r="L62" s="49">
        <f t="shared" si="13"/>
        <v>-30.427750500000002</v>
      </c>
      <c r="M62" s="49">
        <f t="shared" si="13"/>
        <v>-32.253415529999998</v>
      </c>
      <c r="N62" s="49">
        <f t="shared" si="13"/>
        <v>-33.866086306500002</v>
      </c>
      <c r="O62" s="49">
        <f t="shared" si="13"/>
        <v>-35.220729758760001</v>
      </c>
      <c r="P62" s="49">
        <f t="shared" si="13"/>
        <v>-36.629558949110397</v>
      </c>
      <c r="Q62" s="49">
        <f t="shared" si="13"/>
        <v>-38.09474130707482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>J62+J60</f>
        <v>49.822500000000005</v>
      </c>
      <c r="K63" s="51">
        <f t="shared" ref="K63:Q63" si="14">K62+K60</f>
        <v>52.81185</v>
      </c>
      <c r="L63" s="51">
        <f t="shared" si="14"/>
        <v>56.508679500000014</v>
      </c>
      <c r="M63" s="51">
        <f t="shared" si="14"/>
        <v>59.899200270000009</v>
      </c>
      <c r="N63" s="51">
        <f t="shared" si="14"/>
        <v>62.894160283500007</v>
      </c>
      <c r="O63" s="51">
        <f t="shared" si="14"/>
        <v>65.40992669484001</v>
      </c>
      <c r="P63" s="51">
        <f t="shared" si="14"/>
        <v>68.026323762633609</v>
      </c>
      <c r="Q63" s="51">
        <f t="shared" si="14"/>
        <v>70.747376713138948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15">IFERROR(J63/J$47,0)</f>
        <v>0.13874269005847953</v>
      </c>
      <c r="K64" s="59">
        <f t="shared" si="15"/>
        <v>0.13874269005847953</v>
      </c>
      <c r="L64" s="59">
        <f t="shared" si="15"/>
        <v>0.13874269005847956</v>
      </c>
      <c r="M64" s="59">
        <f t="shared" si="15"/>
        <v>0.13874269005847953</v>
      </c>
      <c r="N64" s="59">
        <f t="shared" si="15"/>
        <v>0.13874269005847953</v>
      </c>
      <c r="O64" s="59">
        <f t="shared" si="15"/>
        <v>0.13874269005847953</v>
      </c>
      <c r="P64" s="59">
        <f t="shared" si="15"/>
        <v>0.13874269005847953</v>
      </c>
      <c r="Q64" s="59">
        <f t="shared" si="15"/>
        <v>0.13874269005847953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16">IFERROR(J63/I63-1,0)</f>
        <v>0</v>
      </c>
      <c r="K65" s="57">
        <f t="shared" si="16"/>
        <v>5.9999999999999831E-2</v>
      </c>
      <c r="L65" s="57">
        <f t="shared" si="16"/>
        <v>7.0000000000000284E-2</v>
      </c>
      <c r="M65" s="57">
        <f t="shared" si="16"/>
        <v>5.9999999999999831E-2</v>
      </c>
      <c r="N65" s="57">
        <f t="shared" si="16"/>
        <v>5.0000000000000044E-2</v>
      </c>
      <c r="O65" s="57">
        <f t="shared" si="16"/>
        <v>4.0000000000000036E-2</v>
      </c>
      <c r="P65" s="57">
        <f t="shared" si="16"/>
        <v>4.0000000000000036E-2</v>
      </c>
      <c r="Q65" s="57">
        <f t="shared" si="16"/>
        <v>3.9999999999999813E-2</v>
      </c>
    </row>
    <row r="67" spans="1:24" x14ac:dyDescent="0.2">
      <c r="B67" s="22" t="s">
        <v>98</v>
      </c>
      <c r="J67" s="63"/>
    </row>
    <row r="68" spans="1:24" x14ac:dyDescent="0.2">
      <c r="B68" s="19" t="s">
        <v>101</v>
      </c>
      <c r="C68" s="19"/>
      <c r="D68" s="19"/>
      <c r="E68" s="19"/>
      <c r="F68" s="19"/>
      <c r="G68" s="19"/>
      <c r="H68" s="19"/>
      <c r="I68" s="61">
        <f>I48</f>
        <v>4.587155963302747E-2</v>
      </c>
      <c r="J68" s="65">
        <v>0.05</v>
      </c>
      <c r="K68" s="65">
        <v>0.06</v>
      </c>
      <c r="L68" s="65">
        <v>7.0000000000000007E-2</v>
      </c>
      <c r="M68" s="65">
        <v>0.06</v>
      </c>
      <c r="N68" s="65">
        <v>0.05</v>
      </c>
      <c r="O68" s="65">
        <v>0.04</v>
      </c>
      <c r="P68" s="61">
        <f t="shared" ref="P68:Q68" si="17">O68</f>
        <v>0.04</v>
      </c>
      <c r="Q68" s="61">
        <f t="shared" si="17"/>
        <v>0.04</v>
      </c>
    </row>
    <row r="69" spans="1:24" x14ac:dyDescent="0.2">
      <c r="B69" s="19" t="s">
        <v>138</v>
      </c>
      <c r="C69" s="19"/>
      <c r="D69" s="19"/>
      <c r="E69" s="19"/>
      <c r="F69" s="19"/>
      <c r="G69" s="19"/>
      <c r="H69" s="65">
        <v>0.4</v>
      </c>
      <c r="I69" s="65">
        <v>0.4</v>
      </c>
      <c r="J69" s="61">
        <f>I69</f>
        <v>0.4</v>
      </c>
      <c r="K69" s="61">
        <f t="shared" ref="K69:Q72" si="18">J69</f>
        <v>0.4</v>
      </c>
      <c r="L69" s="61">
        <f t="shared" si="18"/>
        <v>0.4</v>
      </c>
      <c r="M69" s="61">
        <f t="shared" si="18"/>
        <v>0.4</v>
      </c>
      <c r="N69" s="61">
        <f t="shared" si="18"/>
        <v>0.4</v>
      </c>
      <c r="O69" s="61">
        <f t="shared" si="18"/>
        <v>0.4</v>
      </c>
      <c r="P69" s="61">
        <f t="shared" si="18"/>
        <v>0.4</v>
      </c>
      <c r="Q69" s="61">
        <f t="shared" si="18"/>
        <v>0.4</v>
      </c>
    </row>
    <row r="70" spans="1:24" x14ac:dyDescent="0.2">
      <c r="B70" s="16" t="s">
        <v>100</v>
      </c>
      <c r="C70" s="16"/>
      <c r="D70" s="16"/>
      <c r="E70" s="16"/>
      <c r="F70" s="16"/>
      <c r="G70" s="16"/>
      <c r="H70" s="62">
        <f>H51</f>
        <v>0.25993883792048927</v>
      </c>
      <c r="I70" s="62">
        <f>I51</f>
        <v>0.26315789473684209</v>
      </c>
      <c r="J70" s="62">
        <f>I70</f>
        <v>0.26315789473684209</v>
      </c>
      <c r="K70" s="62">
        <f t="shared" si="18"/>
        <v>0.26315789473684209</v>
      </c>
      <c r="L70" s="62">
        <f t="shared" si="18"/>
        <v>0.26315789473684209</v>
      </c>
      <c r="M70" s="62">
        <f t="shared" si="18"/>
        <v>0.26315789473684209</v>
      </c>
      <c r="N70" s="62">
        <f t="shared" si="18"/>
        <v>0.26315789473684209</v>
      </c>
      <c r="O70" s="62">
        <f t="shared" si="18"/>
        <v>0.26315789473684209</v>
      </c>
      <c r="P70" s="62">
        <f t="shared" si="18"/>
        <v>0.26315789473684209</v>
      </c>
      <c r="Q70" s="62">
        <f t="shared" si="18"/>
        <v>0.26315789473684209</v>
      </c>
    </row>
    <row r="71" spans="1:24" x14ac:dyDescent="0.2">
      <c r="B71" s="16" t="s">
        <v>99</v>
      </c>
      <c r="C71" s="16"/>
      <c r="D71" s="16"/>
      <c r="E71" s="16"/>
      <c r="F71" s="16"/>
      <c r="G71" s="16"/>
      <c r="H71" s="62">
        <f>-H54/H47</f>
        <v>4.5871559633027525E-2</v>
      </c>
      <c r="I71" s="62">
        <f>-I54/I47</f>
        <v>4.9707602339181284E-2</v>
      </c>
      <c r="J71" s="62">
        <f>I71</f>
        <v>4.9707602339181284E-2</v>
      </c>
      <c r="K71" s="62">
        <f t="shared" si="18"/>
        <v>4.9707602339181284E-2</v>
      </c>
      <c r="L71" s="62">
        <f t="shared" si="18"/>
        <v>4.9707602339181284E-2</v>
      </c>
      <c r="M71" s="62">
        <f t="shared" si="18"/>
        <v>4.9707602339181284E-2</v>
      </c>
      <c r="N71" s="62">
        <f t="shared" si="18"/>
        <v>4.9707602339181284E-2</v>
      </c>
      <c r="O71" s="62">
        <f t="shared" si="18"/>
        <v>4.9707602339181284E-2</v>
      </c>
      <c r="P71" s="62">
        <f t="shared" si="18"/>
        <v>4.9707602339181284E-2</v>
      </c>
      <c r="Q71" s="62">
        <f t="shared" si="18"/>
        <v>4.9707602339181284E-2</v>
      </c>
    </row>
    <row r="72" spans="1:24" x14ac:dyDescent="0.2">
      <c r="B72" s="17" t="s">
        <v>102</v>
      </c>
      <c r="C72" s="17"/>
      <c r="D72" s="17"/>
      <c r="E72" s="17"/>
      <c r="F72" s="17"/>
      <c r="G72" s="17"/>
      <c r="H72" s="76">
        <f>-H154/H47</f>
        <v>5.1999999999999991E-2</v>
      </c>
      <c r="I72" s="76">
        <f>-I154/I47</f>
        <v>4.9707602339181284E-2</v>
      </c>
      <c r="J72" s="76">
        <f>I72</f>
        <v>4.9707602339181284E-2</v>
      </c>
      <c r="K72" s="76">
        <f t="shared" si="18"/>
        <v>4.9707602339181284E-2</v>
      </c>
      <c r="L72" s="76">
        <f t="shared" si="18"/>
        <v>4.9707602339181284E-2</v>
      </c>
      <c r="M72" s="76">
        <f t="shared" si="18"/>
        <v>4.9707602339181284E-2</v>
      </c>
      <c r="N72" s="76">
        <f t="shared" si="18"/>
        <v>4.9707602339181284E-2</v>
      </c>
      <c r="O72" s="76">
        <f t="shared" si="18"/>
        <v>4.9707602339181284E-2</v>
      </c>
      <c r="P72" s="76">
        <f t="shared" si="18"/>
        <v>4.9707602339181284E-2</v>
      </c>
      <c r="Q72" s="76">
        <f t="shared" si="18"/>
        <v>4.9707602339181284E-2</v>
      </c>
    </row>
    <row r="73" spans="1:24" x14ac:dyDescent="0.2">
      <c r="H73" s="63"/>
      <c r="I73" s="63"/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A76" s="5" t="s">
        <v>35</v>
      </c>
      <c r="B76" s="6" t="s">
        <v>186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2">
      <c r="B77" s="8" t="s">
        <v>37</v>
      </c>
    </row>
    <row r="79" spans="1:24" x14ac:dyDescent="0.2">
      <c r="B79" s="8" t="s">
        <v>88</v>
      </c>
      <c r="I79" s="53">
        <v>42735</v>
      </c>
      <c r="J79" s="54">
        <v>43100</v>
      </c>
      <c r="K79" s="54">
        <v>43465</v>
      </c>
      <c r="L79" s="54">
        <v>43830</v>
      </c>
      <c r="M79" s="54">
        <v>44196</v>
      </c>
      <c r="N79" s="54">
        <v>44561</v>
      </c>
      <c r="O79" s="54">
        <v>44926</v>
      </c>
      <c r="P79" s="54">
        <v>45291</v>
      </c>
      <c r="Q79" s="54">
        <v>45657</v>
      </c>
    </row>
    <row r="80" spans="1:24" ht="3" customHeight="1" x14ac:dyDescent="0.2"/>
    <row r="82" spans="2:17" x14ac:dyDescent="0.2">
      <c r="B82" s="22" t="s">
        <v>98</v>
      </c>
    </row>
    <row r="83" spans="2:17" x14ac:dyDescent="0.2">
      <c r="B83" s="19" t="s">
        <v>139</v>
      </c>
      <c r="C83" s="19"/>
      <c r="D83" s="19"/>
      <c r="E83" s="19"/>
      <c r="F83" s="19"/>
      <c r="G83" s="19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17" t="s">
        <v>140</v>
      </c>
      <c r="C84" s="17"/>
      <c r="D84" s="17"/>
      <c r="E84" s="17"/>
      <c r="F84" s="17"/>
      <c r="G84" s="1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 x14ac:dyDescent="0.2">
      <c r="B85" s="22"/>
      <c r="F85" s="96" t="s">
        <v>165</v>
      </c>
      <c r="H85" s="63"/>
    </row>
    <row r="86" spans="2:17" x14ac:dyDescent="0.2">
      <c r="B86" s="22" t="s">
        <v>142</v>
      </c>
      <c r="F86" s="97">
        <v>360</v>
      </c>
    </row>
    <row r="87" spans="2:17" x14ac:dyDescent="0.2">
      <c r="B87" s="19" t="s">
        <v>114</v>
      </c>
      <c r="C87" s="19"/>
      <c r="D87" s="19"/>
      <c r="E87" s="19"/>
      <c r="F87" s="19"/>
      <c r="G87" s="19"/>
      <c r="H87" s="19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2">
      <c r="B88" s="16" t="s">
        <v>115</v>
      </c>
      <c r="C88" s="16"/>
      <c r="D88" s="16"/>
      <c r="E88" s="16"/>
      <c r="F88" s="16"/>
      <c r="G88" s="16"/>
      <c r="H88" s="16"/>
      <c r="I88" s="93"/>
      <c r="J88" s="93"/>
      <c r="K88" s="93"/>
      <c r="L88" s="93"/>
      <c r="M88" s="93"/>
      <c r="N88" s="93"/>
      <c r="O88" s="93"/>
      <c r="P88" s="93"/>
      <c r="Q88" s="93"/>
    </row>
    <row r="89" spans="2:17" x14ac:dyDescent="0.2">
      <c r="B89" s="17" t="s">
        <v>116</v>
      </c>
      <c r="C89" s="17"/>
      <c r="D89" s="17"/>
      <c r="E89" s="17"/>
      <c r="F89" s="17"/>
      <c r="G89" s="17"/>
      <c r="H89" s="17"/>
      <c r="I89" s="94"/>
      <c r="J89" s="94"/>
      <c r="K89" s="94"/>
      <c r="L89" s="94"/>
      <c r="M89" s="94"/>
      <c r="N89" s="94"/>
      <c r="O89" s="94"/>
      <c r="P89" s="94"/>
      <c r="Q89" s="94"/>
    </row>
    <row r="90" spans="2:17" s="18" customFormat="1" x14ac:dyDescent="0.2">
      <c r="B90" s="66" t="s">
        <v>117</v>
      </c>
      <c r="C90" s="66"/>
      <c r="D90" s="66"/>
      <c r="E90" s="66"/>
      <c r="F90" s="66"/>
      <c r="G90" s="66"/>
      <c r="H90" s="66"/>
      <c r="I90" s="95"/>
      <c r="J90" s="95"/>
      <c r="K90" s="95"/>
      <c r="L90" s="95"/>
      <c r="M90" s="95"/>
      <c r="N90" s="95"/>
      <c r="O90" s="95"/>
      <c r="P90" s="95"/>
      <c r="Q90" s="95"/>
    </row>
    <row r="92" spans="2:17" x14ac:dyDescent="0.2">
      <c r="B92" s="19" t="s">
        <v>118</v>
      </c>
      <c r="C92" s="19"/>
      <c r="D92" s="19"/>
      <c r="E92" s="19"/>
      <c r="F92" s="19"/>
      <c r="G92" s="19"/>
      <c r="H92" s="19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6" t="s">
        <v>119</v>
      </c>
      <c r="C93" s="16"/>
      <c r="D93" s="16"/>
      <c r="E93" s="16"/>
      <c r="F93" s="16"/>
      <c r="G93" s="16"/>
      <c r="H93" s="16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17" t="s">
        <v>120</v>
      </c>
      <c r="C94" s="17"/>
      <c r="D94" s="17"/>
      <c r="E94" s="17"/>
      <c r="F94" s="17"/>
      <c r="G94" s="17"/>
      <c r="H94" s="17"/>
      <c r="I94" s="76"/>
      <c r="J94" s="76"/>
      <c r="K94" s="76"/>
      <c r="L94" s="76"/>
      <c r="M94" s="76"/>
      <c r="N94" s="76"/>
      <c r="O94" s="76"/>
      <c r="P94" s="76"/>
      <c r="Q94" s="76"/>
    </row>
    <row r="96" spans="2:17" x14ac:dyDescent="0.2">
      <c r="B96" s="22" t="s">
        <v>141</v>
      </c>
    </row>
    <row r="97" spans="1:24" x14ac:dyDescent="0.2">
      <c r="B97" s="19" t="s">
        <v>106</v>
      </c>
      <c r="C97" s="19"/>
      <c r="D97" s="19"/>
      <c r="E97" s="19"/>
      <c r="F97" s="19"/>
      <c r="G97" s="19"/>
      <c r="H97" s="19"/>
      <c r="I97" s="82"/>
      <c r="J97" s="82"/>
      <c r="K97" s="82"/>
      <c r="L97" s="82"/>
      <c r="M97" s="82"/>
      <c r="N97" s="82"/>
      <c r="O97" s="82"/>
      <c r="P97" s="82"/>
      <c r="Q97" s="82"/>
    </row>
    <row r="98" spans="1:24" x14ac:dyDescent="0.2">
      <c r="B98" s="16" t="s">
        <v>6</v>
      </c>
      <c r="C98" s="16"/>
      <c r="D98" s="16"/>
      <c r="E98" s="16"/>
      <c r="F98" s="16"/>
      <c r="G98" s="16"/>
      <c r="H98" s="16"/>
      <c r="I98" s="72"/>
      <c r="J98" s="72"/>
      <c r="K98" s="72"/>
      <c r="L98" s="72"/>
      <c r="M98" s="72"/>
      <c r="N98" s="72"/>
      <c r="O98" s="72"/>
      <c r="P98" s="72"/>
      <c r="Q98" s="72"/>
    </row>
    <row r="99" spans="1:24" x14ac:dyDescent="0.2">
      <c r="B99" s="17" t="s">
        <v>7</v>
      </c>
      <c r="C99" s="17"/>
      <c r="D99" s="17"/>
      <c r="E99" s="17"/>
      <c r="F99" s="17"/>
      <c r="G99" s="17"/>
      <c r="H99" s="17"/>
      <c r="I99" s="73"/>
      <c r="J99" s="73"/>
      <c r="K99" s="73"/>
      <c r="L99" s="73"/>
      <c r="M99" s="73"/>
      <c r="N99" s="73"/>
      <c r="O99" s="73"/>
      <c r="P99" s="73"/>
      <c r="Q99" s="73"/>
    </row>
    <row r="100" spans="1:24" s="18" customFormat="1" x14ac:dyDescent="0.2">
      <c r="B100" s="9" t="s">
        <v>122</v>
      </c>
      <c r="C100" s="9"/>
      <c r="D100" s="9"/>
      <c r="E100" s="9"/>
      <c r="F100" s="9"/>
      <c r="G100" s="9"/>
      <c r="H100" s="9"/>
      <c r="I100" s="51"/>
      <c r="J100" s="51"/>
      <c r="K100" s="51"/>
      <c r="L100" s="51"/>
      <c r="M100" s="51"/>
      <c r="N100" s="51"/>
      <c r="O100" s="51"/>
      <c r="P100" s="51"/>
      <c r="Q100" s="51"/>
    </row>
    <row r="102" spans="1:24" x14ac:dyDescent="0.2">
      <c r="B102" s="19" t="s">
        <v>8</v>
      </c>
      <c r="C102" s="19"/>
      <c r="D102" s="19"/>
      <c r="E102" s="19"/>
      <c r="F102" s="19"/>
      <c r="G102" s="19"/>
      <c r="H102" s="19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1:24" x14ac:dyDescent="0.2">
      <c r="B103" s="16" t="s">
        <v>108</v>
      </c>
      <c r="C103" s="16"/>
      <c r="D103" s="16"/>
      <c r="E103" s="16"/>
      <c r="F103" s="16"/>
      <c r="G103" s="16"/>
      <c r="H103" s="16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1:24" x14ac:dyDescent="0.2">
      <c r="B104" s="17" t="s">
        <v>121</v>
      </c>
      <c r="C104" s="17"/>
      <c r="D104" s="17"/>
      <c r="E104" s="17"/>
      <c r="F104" s="17"/>
      <c r="G104" s="17"/>
      <c r="H104" s="17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24" s="18" customFormat="1" x14ac:dyDescent="0.2">
      <c r="B105" s="9" t="s">
        <v>123</v>
      </c>
      <c r="C105" s="9"/>
      <c r="D105" s="9"/>
      <c r="E105" s="9"/>
      <c r="F105" s="9"/>
      <c r="G105" s="9"/>
      <c r="H105" s="9"/>
      <c r="I105" s="51"/>
      <c r="J105" s="51"/>
      <c r="K105" s="51"/>
      <c r="L105" s="51"/>
      <c r="M105" s="51"/>
      <c r="N105" s="51"/>
      <c r="O105" s="51"/>
      <c r="P105" s="51"/>
      <c r="Q105" s="51"/>
    </row>
    <row r="107" spans="1:24" s="18" customFormat="1" x14ac:dyDescent="0.2">
      <c r="B107" s="9" t="s">
        <v>125</v>
      </c>
      <c r="C107" s="9"/>
      <c r="D107" s="9"/>
      <c r="E107" s="9"/>
      <c r="F107" s="9"/>
      <c r="G107" s="9"/>
      <c r="H107" s="9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1:24" x14ac:dyDescent="0.2">
      <c r="C108" s="3" t="s">
        <v>124</v>
      </c>
      <c r="J108" s="49"/>
      <c r="K108" s="49"/>
      <c r="L108" s="49"/>
      <c r="M108" s="49"/>
      <c r="N108" s="49"/>
      <c r="O108" s="49"/>
      <c r="P108" s="49"/>
      <c r="Q108" s="49"/>
    </row>
    <row r="112" spans="1:24" x14ac:dyDescent="0.2">
      <c r="A112" s="5" t="s">
        <v>35</v>
      </c>
      <c r="B112" s="6" t="s">
        <v>85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2:17" x14ac:dyDescent="0.2">
      <c r="B113" s="8" t="s">
        <v>37</v>
      </c>
    </row>
    <row r="115" spans="2:17" x14ac:dyDescent="0.2">
      <c r="B115" s="8" t="s">
        <v>88</v>
      </c>
      <c r="H115" s="53">
        <v>42735</v>
      </c>
      <c r="I115" s="140">
        <v>42735</v>
      </c>
      <c r="J115" s="54">
        <v>43100</v>
      </c>
      <c r="K115" s="54">
        <v>43465</v>
      </c>
      <c r="L115" s="54">
        <v>43830</v>
      </c>
      <c r="M115" s="54">
        <v>44196</v>
      </c>
      <c r="N115" s="54">
        <v>44561</v>
      </c>
      <c r="O115" s="54">
        <v>44926</v>
      </c>
      <c r="P115" s="54">
        <v>45291</v>
      </c>
      <c r="Q115" s="54">
        <v>45657</v>
      </c>
    </row>
    <row r="116" spans="2:17" ht="3" customHeight="1" x14ac:dyDescent="0.2"/>
    <row r="117" spans="2:17" x14ac:dyDescent="0.2">
      <c r="B117" s="22" t="s">
        <v>103</v>
      </c>
    </row>
    <row r="118" spans="2:17" x14ac:dyDescent="0.2">
      <c r="B118" s="19" t="s">
        <v>3</v>
      </c>
      <c r="C118" s="19"/>
      <c r="D118" s="19"/>
      <c r="E118" s="19"/>
      <c r="F118" s="19"/>
      <c r="G118" s="19"/>
      <c r="H118" s="88">
        <v>5</v>
      </c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16" t="s">
        <v>106</v>
      </c>
      <c r="C119" s="16"/>
      <c r="D119" s="16"/>
      <c r="E119" s="16"/>
      <c r="F119" s="16"/>
      <c r="G119" s="16"/>
      <c r="H119" s="74">
        <f>90</f>
        <v>90</v>
      </c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2:17" x14ac:dyDescent="0.2">
      <c r="B120" s="16" t="s">
        <v>6</v>
      </c>
      <c r="C120" s="16"/>
      <c r="D120" s="16"/>
      <c r="E120" s="16"/>
      <c r="F120" s="16"/>
      <c r="G120" s="16"/>
      <c r="H120" s="74">
        <v>45</v>
      </c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2:17" x14ac:dyDescent="0.2">
      <c r="B121" s="17" t="s">
        <v>7</v>
      </c>
      <c r="C121" s="17"/>
      <c r="D121" s="17"/>
      <c r="E121" s="17"/>
      <c r="F121" s="17"/>
      <c r="G121" s="17"/>
      <c r="H121" s="89">
        <v>7</v>
      </c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s="18" customFormat="1" x14ac:dyDescent="0.2">
      <c r="B122" s="9" t="s">
        <v>204</v>
      </c>
      <c r="C122" s="9"/>
      <c r="D122" s="9"/>
      <c r="E122" s="9"/>
      <c r="F122" s="9"/>
      <c r="G122" s="9"/>
      <c r="H122" s="51">
        <f>SUM(H118:H121)</f>
        <v>147</v>
      </c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2:17" x14ac:dyDescent="0.2">
      <c r="B123" s="19" t="s">
        <v>204</v>
      </c>
      <c r="C123" s="19"/>
      <c r="D123" s="19"/>
      <c r="E123" s="19"/>
      <c r="F123" s="19"/>
      <c r="G123" s="19"/>
      <c r="H123" s="74">
        <v>78</v>
      </c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2:17" x14ac:dyDescent="0.2">
      <c r="B124" s="16" t="s">
        <v>22</v>
      </c>
      <c r="C124" s="16"/>
      <c r="D124" s="16"/>
      <c r="E124" s="16"/>
      <c r="F124" s="16"/>
      <c r="G124" s="16"/>
      <c r="H124" s="74">
        <v>20</v>
      </c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2:17" x14ac:dyDescent="0.2">
      <c r="B125" s="17" t="s">
        <v>105</v>
      </c>
      <c r="C125" s="17"/>
      <c r="D125" s="17"/>
      <c r="E125" s="17"/>
      <c r="F125" s="17"/>
      <c r="G125" s="17"/>
      <c r="H125" s="89">
        <v>6</v>
      </c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s="18" customFormat="1" x14ac:dyDescent="0.2">
      <c r="B126" s="9" t="s">
        <v>4</v>
      </c>
      <c r="C126" s="9"/>
      <c r="D126" s="9"/>
      <c r="E126" s="9"/>
      <c r="F126" s="9"/>
      <c r="G126" s="9"/>
      <c r="H126" s="51">
        <f>SUM(H122:H125)</f>
        <v>251</v>
      </c>
      <c r="I126" s="51"/>
      <c r="J126" s="51"/>
      <c r="K126" s="51"/>
      <c r="L126" s="51"/>
      <c r="M126" s="51"/>
      <c r="N126" s="51"/>
      <c r="O126" s="51"/>
      <c r="P126" s="51"/>
      <c r="Q126" s="51"/>
    </row>
    <row r="128" spans="2:17" x14ac:dyDescent="0.2">
      <c r="B128" s="22" t="s">
        <v>107</v>
      </c>
    </row>
    <row r="129" spans="1:24" x14ac:dyDescent="0.2">
      <c r="B129" s="19" t="s">
        <v>8</v>
      </c>
      <c r="C129" s="19"/>
      <c r="D129" s="19"/>
      <c r="E129" s="19"/>
      <c r="F129" s="19"/>
      <c r="G129" s="19"/>
      <c r="H129" s="88">
        <v>44</v>
      </c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1:24" x14ac:dyDescent="0.2">
      <c r="B130" s="16" t="s">
        <v>108</v>
      </c>
      <c r="C130" s="16"/>
      <c r="D130" s="16"/>
      <c r="E130" s="16"/>
      <c r="F130" s="16"/>
      <c r="G130" s="16"/>
      <c r="H130" s="74">
        <v>37</v>
      </c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1:24" x14ac:dyDescent="0.2">
      <c r="B131" s="17" t="s">
        <v>9</v>
      </c>
      <c r="C131" s="17"/>
      <c r="D131" s="17"/>
      <c r="E131" s="17"/>
      <c r="F131" s="17"/>
      <c r="G131" s="17"/>
      <c r="H131" s="89">
        <v>3</v>
      </c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1:24" s="18" customFormat="1" x14ac:dyDescent="0.2">
      <c r="B132" s="9" t="s">
        <v>109</v>
      </c>
      <c r="C132" s="9"/>
      <c r="D132" s="9"/>
      <c r="E132" s="9"/>
      <c r="F132" s="9"/>
      <c r="G132" s="9"/>
      <c r="H132" s="51">
        <f>SUM(H129:H131)</f>
        <v>84</v>
      </c>
      <c r="I132" s="51"/>
      <c r="J132" s="51"/>
      <c r="K132" s="51"/>
      <c r="L132" s="51"/>
      <c r="M132" s="51"/>
      <c r="N132" s="51"/>
      <c r="O132" s="51"/>
      <c r="P132" s="51"/>
      <c r="Q132" s="51"/>
    </row>
    <row r="134" spans="1:24" x14ac:dyDescent="0.2">
      <c r="B134" s="19" t="s">
        <v>33</v>
      </c>
      <c r="C134" s="19"/>
      <c r="D134" s="19"/>
      <c r="E134" s="19"/>
      <c r="F134" s="19"/>
      <c r="G134" s="19"/>
      <c r="H134" s="88">
        <v>0</v>
      </c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1:24" x14ac:dyDescent="0.2">
      <c r="B135" s="17" t="s">
        <v>110</v>
      </c>
      <c r="C135" s="17"/>
      <c r="D135" s="17"/>
      <c r="E135" s="17"/>
      <c r="F135" s="17"/>
      <c r="G135" s="17"/>
      <c r="H135" s="89">
        <v>7</v>
      </c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1:24" s="18" customFormat="1" x14ac:dyDescent="0.2">
      <c r="B136" s="9" t="s">
        <v>111</v>
      </c>
      <c r="C136" s="9"/>
      <c r="D136" s="9"/>
      <c r="E136" s="9"/>
      <c r="F136" s="9"/>
      <c r="G136" s="9"/>
      <c r="H136" s="90">
        <f>SUM(H134:H135,H132)</f>
        <v>91</v>
      </c>
      <c r="I136" s="90"/>
      <c r="J136" s="90"/>
      <c r="K136" s="90"/>
      <c r="L136" s="90"/>
      <c r="M136" s="90"/>
      <c r="N136" s="90"/>
      <c r="O136" s="90"/>
      <c r="P136" s="90"/>
      <c r="Q136" s="90"/>
    </row>
    <row r="138" spans="1:24" x14ac:dyDescent="0.2">
      <c r="B138" s="3" t="s">
        <v>112</v>
      </c>
      <c r="H138" s="60">
        <v>160</v>
      </c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24" s="18" customFormat="1" x14ac:dyDescent="0.2">
      <c r="B139" s="9" t="s">
        <v>113</v>
      </c>
      <c r="C139" s="9"/>
      <c r="D139" s="9"/>
      <c r="E139" s="9"/>
      <c r="F139" s="9"/>
      <c r="G139" s="9"/>
      <c r="H139" s="51">
        <f>H136+H138</f>
        <v>251</v>
      </c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1:24" x14ac:dyDescent="0.2">
      <c r="B140" s="3" t="s">
        <v>52</v>
      </c>
      <c r="H140" s="91" t="b">
        <f>ROUND(H139,3) = ROUND(H126,3)</f>
        <v>1</v>
      </c>
      <c r="I140" s="91" t="b">
        <f>ROUND(I139,3) = ROUND(I126,3)</f>
        <v>1</v>
      </c>
      <c r="J140" s="91" t="b">
        <f t="shared" ref="J140:Q140" si="19">ROUND(J139,3) = ROUND(J126,3)</f>
        <v>1</v>
      </c>
      <c r="K140" s="91" t="b">
        <f t="shared" si="19"/>
        <v>1</v>
      </c>
      <c r="L140" s="91" t="b">
        <f t="shared" si="19"/>
        <v>1</v>
      </c>
      <c r="M140" s="91" t="b">
        <f t="shared" si="19"/>
        <v>1</v>
      </c>
      <c r="N140" s="91" t="b">
        <f t="shared" si="19"/>
        <v>1</v>
      </c>
      <c r="O140" s="91" t="b">
        <f t="shared" si="19"/>
        <v>1</v>
      </c>
      <c r="P140" s="91" t="b">
        <f t="shared" si="19"/>
        <v>1</v>
      </c>
      <c r="Q140" s="91" t="b">
        <f t="shared" si="19"/>
        <v>1</v>
      </c>
    </row>
    <row r="141" spans="1:24" x14ac:dyDescent="0.2">
      <c r="J141" s="120"/>
      <c r="K141" s="120"/>
      <c r="L141" s="120"/>
      <c r="M141" s="120"/>
      <c r="N141" s="120"/>
      <c r="O141" s="120"/>
      <c r="P141" s="120"/>
      <c r="Q141" s="120"/>
    </row>
    <row r="143" spans="1:24" x14ac:dyDescent="0.2">
      <c r="A143" s="5" t="s">
        <v>35</v>
      </c>
      <c r="B143" s="6" t="s">
        <v>86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x14ac:dyDescent="0.2">
      <c r="B144" s="8" t="s">
        <v>37</v>
      </c>
    </row>
    <row r="146" spans="2:17" x14ac:dyDescent="0.2">
      <c r="B146" s="8" t="s">
        <v>88</v>
      </c>
      <c r="H146" s="53">
        <v>42369</v>
      </c>
      <c r="I146" s="53">
        <v>42735</v>
      </c>
      <c r="J146" s="54">
        <v>43100</v>
      </c>
      <c r="K146" s="54">
        <v>43465</v>
      </c>
      <c r="L146" s="54">
        <v>43830</v>
      </c>
      <c r="M146" s="54">
        <v>44196</v>
      </c>
      <c r="N146" s="54">
        <v>44561</v>
      </c>
      <c r="O146" s="54">
        <v>44926</v>
      </c>
      <c r="P146" s="54">
        <v>45291</v>
      </c>
      <c r="Q146" s="54">
        <v>45657</v>
      </c>
    </row>
    <row r="147" spans="2:17" ht="3" customHeight="1" x14ac:dyDescent="0.2"/>
    <row r="148" spans="2:17" x14ac:dyDescent="0.2">
      <c r="B148" s="22" t="s">
        <v>126</v>
      </c>
    </row>
    <row r="149" spans="2:17" x14ac:dyDescent="0.2">
      <c r="B149" s="19" t="s">
        <v>28</v>
      </c>
      <c r="C149" s="19"/>
      <c r="D149" s="19"/>
      <c r="E149" s="19"/>
      <c r="F149" s="19"/>
      <c r="G149" s="19"/>
      <c r="H149" s="19"/>
      <c r="I149" s="19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23" t="s">
        <v>127</v>
      </c>
      <c r="C150" s="16"/>
      <c r="D150" s="16"/>
      <c r="E150" s="16"/>
      <c r="F150" s="16"/>
      <c r="G150" s="16"/>
      <c r="H150" s="16"/>
      <c r="I150" s="16"/>
      <c r="J150" s="72"/>
      <c r="K150" s="72"/>
      <c r="L150" s="72"/>
      <c r="M150" s="72"/>
      <c r="N150" s="72"/>
      <c r="O150" s="72"/>
      <c r="P150" s="72"/>
      <c r="Q150" s="72"/>
    </row>
    <row r="151" spans="2:17" x14ac:dyDescent="0.2">
      <c r="B151" s="23" t="s">
        <v>128</v>
      </c>
      <c r="C151" s="16"/>
      <c r="D151" s="16"/>
      <c r="E151" s="16"/>
      <c r="F151" s="16"/>
      <c r="G151" s="16"/>
      <c r="H151" s="16"/>
      <c r="I151" s="16"/>
      <c r="J151" s="72"/>
      <c r="K151" s="72"/>
      <c r="L151" s="72"/>
      <c r="M151" s="72"/>
      <c r="N151" s="72"/>
      <c r="O151" s="72"/>
      <c r="P151" s="72"/>
      <c r="Q151" s="72"/>
    </row>
    <row r="152" spans="2:17" x14ac:dyDescent="0.2">
      <c r="B152" s="24" t="s">
        <v>129</v>
      </c>
      <c r="C152" s="17"/>
      <c r="D152" s="17"/>
      <c r="E152" s="17"/>
      <c r="F152" s="17"/>
      <c r="G152" s="17"/>
      <c r="H152" s="17"/>
      <c r="I152" s="17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64" t="s">
        <v>126</v>
      </c>
      <c r="C153" s="14"/>
      <c r="D153" s="14"/>
      <c r="E153" s="14"/>
      <c r="F153" s="14"/>
      <c r="G153" s="14"/>
      <c r="H153" s="14"/>
      <c r="I153" s="14"/>
      <c r="J153" s="51"/>
      <c r="K153" s="51"/>
      <c r="L153" s="51"/>
      <c r="M153" s="51"/>
      <c r="N153" s="51"/>
      <c r="O153" s="51"/>
      <c r="P153" s="51"/>
      <c r="Q153" s="51"/>
    </row>
    <row r="154" spans="2:17" x14ac:dyDescent="0.2">
      <c r="B154" s="20" t="s">
        <v>130</v>
      </c>
      <c r="H154" s="98">
        <v>-17.003999999999998</v>
      </c>
      <c r="I154" s="98">
        <v>-17</v>
      </c>
      <c r="J154" s="50"/>
      <c r="K154" s="50"/>
      <c r="L154" s="50"/>
      <c r="M154" s="50"/>
      <c r="N154" s="50"/>
      <c r="O154" s="50"/>
      <c r="P154" s="50"/>
      <c r="Q154" s="50"/>
    </row>
    <row r="155" spans="2:17" x14ac:dyDescent="0.2">
      <c r="B155" s="64" t="s">
        <v>131</v>
      </c>
      <c r="C155" s="14"/>
      <c r="D155" s="14"/>
      <c r="E155" s="14"/>
      <c r="F155" s="14"/>
      <c r="G155" s="14"/>
      <c r="H155" s="14"/>
      <c r="I155" s="14"/>
      <c r="J155" s="51"/>
      <c r="K155" s="51"/>
      <c r="L155" s="51"/>
      <c r="M155" s="51"/>
      <c r="N155" s="51"/>
      <c r="O155" s="51"/>
      <c r="P155" s="51"/>
      <c r="Q155" s="51"/>
    </row>
    <row r="156" spans="2:17" x14ac:dyDescent="0.2">
      <c r="B156" s="20"/>
    </row>
    <row r="157" spans="2:17" x14ac:dyDescent="0.2">
      <c r="B157" s="21" t="s">
        <v>10</v>
      </c>
      <c r="C157" s="19"/>
      <c r="D157" s="19"/>
      <c r="E157" s="19"/>
      <c r="F157" s="19"/>
      <c r="G157" s="19"/>
      <c r="H157" s="19"/>
      <c r="I157" s="19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23" t="s">
        <v>132</v>
      </c>
      <c r="C158" s="16"/>
      <c r="D158" s="16"/>
      <c r="E158" s="16"/>
      <c r="F158" s="16"/>
      <c r="G158" s="16"/>
      <c r="H158" s="16"/>
      <c r="I158" s="16"/>
      <c r="J158" s="72"/>
      <c r="K158" s="72"/>
      <c r="L158" s="72"/>
      <c r="M158" s="72"/>
      <c r="N158" s="72"/>
      <c r="O158" s="72"/>
      <c r="P158" s="72"/>
      <c r="Q158" s="72"/>
    </row>
    <row r="159" spans="2:17" x14ac:dyDescent="0.2">
      <c r="B159" s="24" t="s">
        <v>133</v>
      </c>
      <c r="C159" s="17"/>
      <c r="D159" s="17"/>
      <c r="E159" s="17"/>
      <c r="F159" s="17"/>
      <c r="G159" s="17"/>
      <c r="H159" s="17"/>
      <c r="I159" s="17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64" t="s">
        <v>134</v>
      </c>
      <c r="C160" s="14"/>
      <c r="D160" s="14"/>
      <c r="E160" s="14"/>
      <c r="F160" s="14"/>
      <c r="G160" s="14"/>
      <c r="H160" s="14"/>
      <c r="I160" s="14"/>
      <c r="J160" s="51"/>
      <c r="K160" s="51"/>
      <c r="L160" s="51"/>
      <c r="M160" s="51"/>
      <c r="N160" s="51"/>
      <c r="O160" s="51"/>
      <c r="P160" s="51"/>
      <c r="Q160" s="51"/>
    </row>
    <row r="161" spans="1:24" x14ac:dyDescent="0.2">
      <c r="B161" s="20"/>
    </row>
    <row r="162" spans="1:24" x14ac:dyDescent="0.2">
      <c r="B162" s="21" t="s">
        <v>135</v>
      </c>
      <c r="C162" s="19"/>
      <c r="D162" s="19"/>
      <c r="E162" s="19"/>
      <c r="F162" s="19"/>
      <c r="G162" s="19"/>
      <c r="H162" s="19"/>
      <c r="I162" s="19"/>
      <c r="J162" s="82"/>
      <c r="K162" s="82"/>
      <c r="L162" s="82"/>
      <c r="M162" s="82"/>
      <c r="N162" s="82"/>
      <c r="O162" s="82"/>
      <c r="P162" s="82"/>
      <c r="Q162" s="82"/>
    </row>
    <row r="163" spans="1:24" x14ac:dyDescent="0.2">
      <c r="B163" s="20" t="s">
        <v>136</v>
      </c>
      <c r="J163" s="50"/>
      <c r="K163" s="50"/>
      <c r="L163" s="50"/>
      <c r="M163" s="50"/>
      <c r="N163" s="50"/>
      <c r="O163" s="50"/>
      <c r="P163" s="50"/>
      <c r="Q163" s="50"/>
    </row>
    <row r="164" spans="1:24" x14ac:dyDescent="0.2">
      <c r="B164" s="20"/>
    </row>
    <row r="165" spans="1:24" x14ac:dyDescent="0.2">
      <c r="B165" s="20" t="s">
        <v>143</v>
      </c>
      <c r="J165" s="49"/>
      <c r="K165" s="49"/>
      <c r="L165" s="49"/>
      <c r="M165" s="49"/>
      <c r="N165" s="49"/>
      <c r="O165" s="49"/>
      <c r="P165" s="49"/>
      <c r="Q165" s="49"/>
    </row>
    <row r="166" spans="1:24" x14ac:dyDescent="0.2">
      <c r="B166" s="64" t="s">
        <v>16</v>
      </c>
      <c r="C166" s="14"/>
      <c r="D166" s="14"/>
      <c r="E166" s="14"/>
      <c r="F166" s="14"/>
      <c r="G166" s="14"/>
      <c r="H166" s="14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1:24" x14ac:dyDescent="0.2">
      <c r="B167" s="67"/>
    </row>
    <row r="168" spans="1:24" x14ac:dyDescent="0.2">
      <c r="B168" s="68" t="s">
        <v>98</v>
      </c>
    </row>
    <row r="169" spans="1:24" x14ac:dyDescent="0.2">
      <c r="B169" s="21" t="s">
        <v>144</v>
      </c>
      <c r="C169" s="19"/>
      <c r="D169" s="19"/>
      <c r="E169" s="19"/>
      <c r="F169" s="19"/>
      <c r="G169" s="63"/>
      <c r="H169" s="19"/>
      <c r="I169" s="19"/>
      <c r="J169" s="82"/>
      <c r="K169" s="82"/>
      <c r="L169" s="82"/>
      <c r="M169" s="82"/>
      <c r="N169" s="82"/>
      <c r="O169" s="82"/>
      <c r="P169" s="82"/>
      <c r="Q169" s="82"/>
    </row>
    <row r="170" spans="1:24" x14ac:dyDescent="0.2">
      <c r="B170" s="20" t="s">
        <v>145</v>
      </c>
      <c r="G170" s="99">
        <f>H35</f>
        <v>2.5000000000000001E-3</v>
      </c>
      <c r="J170" s="50"/>
      <c r="K170" s="50"/>
      <c r="L170" s="50"/>
      <c r="M170" s="50"/>
      <c r="N170" s="50"/>
      <c r="O170" s="50"/>
      <c r="P170" s="50"/>
      <c r="Q170" s="50"/>
    </row>
    <row r="171" spans="1:24" x14ac:dyDescent="0.2">
      <c r="B171" s="20"/>
    </row>
    <row r="173" spans="1:24" x14ac:dyDescent="0.2">
      <c r="A173" s="5" t="s">
        <v>35</v>
      </c>
      <c r="B173" s="6" t="s">
        <v>87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x14ac:dyDescent="0.2">
      <c r="B174" s="8" t="s">
        <v>37</v>
      </c>
    </row>
    <row r="176" spans="1:24" x14ac:dyDescent="0.2">
      <c r="B176" s="8" t="s">
        <v>88</v>
      </c>
      <c r="I176" s="140">
        <f>I$115</f>
        <v>42735</v>
      </c>
      <c r="J176" s="54">
        <f t="shared" ref="J176:Q176" si="20">J$115</f>
        <v>43100</v>
      </c>
      <c r="K176" s="54">
        <f t="shared" si="20"/>
        <v>43465</v>
      </c>
      <c r="L176" s="54">
        <f t="shared" si="20"/>
        <v>43830</v>
      </c>
      <c r="M176" s="54">
        <f t="shared" si="20"/>
        <v>44196</v>
      </c>
      <c r="N176" s="54">
        <f t="shared" si="20"/>
        <v>44561</v>
      </c>
      <c r="O176" s="54">
        <f t="shared" si="20"/>
        <v>44926</v>
      </c>
      <c r="P176" s="54">
        <f t="shared" si="20"/>
        <v>45291</v>
      </c>
      <c r="Q176" s="54">
        <f t="shared" si="20"/>
        <v>45657</v>
      </c>
    </row>
    <row r="177" spans="2:17" ht="3" customHeight="1" x14ac:dyDescent="0.2"/>
    <row r="179" spans="2:17" x14ac:dyDescent="0.2">
      <c r="B179" s="22" t="s">
        <v>146</v>
      </c>
    </row>
    <row r="180" spans="2:17" x14ac:dyDescent="0.2">
      <c r="B180" s="19" t="s">
        <v>21</v>
      </c>
      <c r="C180" s="19"/>
      <c r="D180" s="19"/>
      <c r="E180" s="19"/>
      <c r="F180" s="19"/>
      <c r="G180" s="19"/>
      <c r="H180" s="19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16" t="s">
        <v>20</v>
      </c>
      <c r="C181" s="16"/>
      <c r="D181" s="16"/>
      <c r="E181" s="16"/>
      <c r="F181" s="16"/>
      <c r="G181" s="16"/>
      <c r="H181" s="16"/>
      <c r="I181" s="72"/>
      <c r="J181" s="72"/>
      <c r="K181" s="72"/>
      <c r="L181" s="72"/>
      <c r="M181" s="72"/>
      <c r="N181" s="72"/>
      <c r="O181" s="72"/>
      <c r="P181" s="72"/>
      <c r="Q181" s="72"/>
    </row>
    <row r="182" spans="2:17" x14ac:dyDescent="0.2">
      <c r="B182" s="16" t="s">
        <v>43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7" t="s">
        <v>44</v>
      </c>
      <c r="C183" s="17"/>
      <c r="D183" s="17"/>
      <c r="E183" s="17"/>
      <c r="F183" s="17"/>
      <c r="G183" s="17"/>
      <c r="H183" s="17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s="18" customFormat="1" x14ac:dyDescent="0.2">
      <c r="B184" s="9" t="s">
        <v>80</v>
      </c>
      <c r="C184" s="9"/>
      <c r="D184" s="9"/>
      <c r="E184" s="9"/>
      <c r="F184" s="9"/>
      <c r="G184" s="9"/>
      <c r="H184" s="9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2:17" x14ac:dyDescent="0.2">
      <c r="C185" s="8" t="s">
        <v>168</v>
      </c>
      <c r="J185" s="57">
        <f>IFERROR(J184/$I184,0)</f>
        <v>0</v>
      </c>
      <c r="K185" s="57">
        <f t="shared" ref="K185:Q185" si="21">IFERROR(K184/$I184,0)</f>
        <v>0</v>
      </c>
      <c r="L185" s="57">
        <f t="shared" si="21"/>
        <v>0</v>
      </c>
      <c r="M185" s="57">
        <f t="shared" si="21"/>
        <v>0</v>
      </c>
      <c r="N185" s="57">
        <f t="shared" si="21"/>
        <v>0</v>
      </c>
      <c r="O185" s="57">
        <f t="shared" si="21"/>
        <v>0</v>
      </c>
      <c r="P185" s="57">
        <f t="shared" si="21"/>
        <v>0</v>
      </c>
      <c r="Q185" s="57">
        <f t="shared" si="21"/>
        <v>0</v>
      </c>
    </row>
    <row r="187" spans="2:17" x14ac:dyDescent="0.2">
      <c r="B187" s="22" t="s">
        <v>98</v>
      </c>
    </row>
    <row r="188" spans="2:17" x14ac:dyDescent="0.2">
      <c r="B188" s="63" t="s">
        <v>147</v>
      </c>
      <c r="C188" s="63"/>
      <c r="D188" s="63"/>
      <c r="E188" s="63"/>
      <c r="F188" s="63"/>
      <c r="G188" s="100">
        <f>Q15</f>
        <v>100</v>
      </c>
      <c r="H188" s="63"/>
      <c r="I188" s="101"/>
      <c r="J188" s="101"/>
      <c r="K188" s="101"/>
      <c r="L188" s="101"/>
      <c r="M188" s="101"/>
      <c r="N188" s="101"/>
      <c r="O188" s="101"/>
      <c r="P188" s="101"/>
      <c r="Q188" s="101"/>
    </row>
    <row r="190" spans="2:17" x14ac:dyDescent="0.2">
      <c r="B190" s="69" t="s">
        <v>148</v>
      </c>
      <c r="C190" s="69"/>
      <c r="D190" s="69"/>
      <c r="E190" s="69"/>
      <c r="F190" s="69"/>
      <c r="G190" s="69"/>
      <c r="H190" s="69"/>
      <c r="I190" s="69"/>
      <c r="J190" s="102"/>
      <c r="K190" s="102"/>
      <c r="L190" s="102"/>
      <c r="M190" s="102"/>
      <c r="N190" s="102"/>
      <c r="O190" s="102"/>
      <c r="P190" s="102"/>
      <c r="Q190" s="102"/>
    </row>
    <row r="192" spans="2:17" x14ac:dyDescent="0.2">
      <c r="B192" s="22" t="s">
        <v>149</v>
      </c>
    </row>
    <row r="193" spans="2:17" x14ac:dyDescent="0.2">
      <c r="B193" s="19" t="s">
        <v>21</v>
      </c>
      <c r="C193" s="19"/>
      <c r="D193" s="19"/>
      <c r="E193" s="19"/>
      <c r="F193" s="19"/>
      <c r="G193" s="19"/>
      <c r="H193" s="19"/>
      <c r="I193" s="19"/>
      <c r="J193" s="65">
        <v>0</v>
      </c>
      <c r="K193" s="61">
        <f>J193</f>
        <v>0</v>
      </c>
      <c r="L193" s="61">
        <f t="shared" ref="L193:Q193" si="22">K193</f>
        <v>0</v>
      </c>
      <c r="M193" s="61">
        <f t="shared" si="22"/>
        <v>0</v>
      </c>
      <c r="N193" s="61">
        <f t="shared" si="22"/>
        <v>0</v>
      </c>
      <c r="O193" s="61">
        <f t="shared" si="22"/>
        <v>0</v>
      </c>
      <c r="P193" s="61">
        <f t="shared" si="22"/>
        <v>0</v>
      </c>
      <c r="Q193" s="61">
        <f t="shared" si="22"/>
        <v>0</v>
      </c>
    </row>
    <row r="194" spans="2:17" x14ac:dyDescent="0.2">
      <c r="B194" s="16" t="s">
        <v>20</v>
      </c>
      <c r="C194" s="16"/>
      <c r="D194" s="16"/>
      <c r="E194" s="16"/>
      <c r="F194" s="16"/>
      <c r="G194" s="16"/>
      <c r="H194" s="16"/>
      <c r="I194" s="16"/>
      <c r="J194" s="62">
        <f>U11</f>
        <v>0.01</v>
      </c>
      <c r="K194" s="62">
        <f t="shared" ref="K194:Q196" si="23">J194</f>
        <v>0.01</v>
      </c>
      <c r="L194" s="62">
        <f t="shared" si="23"/>
        <v>0.01</v>
      </c>
      <c r="M194" s="62">
        <f t="shared" si="23"/>
        <v>0.01</v>
      </c>
      <c r="N194" s="62">
        <f t="shared" si="23"/>
        <v>0.01</v>
      </c>
      <c r="O194" s="62">
        <f t="shared" si="23"/>
        <v>0.01</v>
      </c>
      <c r="P194" s="62">
        <f t="shared" si="23"/>
        <v>0.01</v>
      </c>
      <c r="Q194" s="62">
        <f t="shared" si="23"/>
        <v>0.01</v>
      </c>
    </row>
    <row r="195" spans="2:17" x14ac:dyDescent="0.2">
      <c r="B195" s="16" t="s">
        <v>43</v>
      </c>
      <c r="C195" s="16"/>
      <c r="D195" s="16"/>
      <c r="E195" s="16"/>
      <c r="F195" s="16"/>
      <c r="G195" s="16"/>
      <c r="H195" s="16"/>
      <c r="I195" s="16"/>
      <c r="J195" s="62">
        <f>U12</f>
        <v>0</v>
      </c>
      <c r="K195" s="62">
        <f t="shared" si="23"/>
        <v>0</v>
      </c>
      <c r="L195" s="62">
        <f t="shared" si="23"/>
        <v>0</v>
      </c>
      <c r="M195" s="62">
        <f t="shared" si="23"/>
        <v>0</v>
      </c>
      <c r="N195" s="62">
        <f t="shared" si="23"/>
        <v>0</v>
      </c>
      <c r="O195" s="62">
        <f t="shared" si="23"/>
        <v>0</v>
      </c>
      <c r="P195" s="62">
        <f t="shared" si="23"/>
        <v>0</v>
      </c>
      <c r="Q195" s="62">
        <f t="shared" si="23"/>
        <v>0</v>
      </c>
    </row>
    <row r="196" spans="2:17" x14ac:dyDescent="0.2">
      <c r="B196" s="17" t="s">
        <v>44</v>
      </c>
      <c r="C196" s="17"/>
      <c r="D196" s="17"/>
      <c r="E196" s="17"/>
      <c r="F196" s="17"/>
      <c r="G196" s="17"/>
      <c r="H196" s="17"/>
      <c r="I196" s="17"/>
      <c r="J196" s="76">
        <f>U13</f>
        <v>0</v>
      </c>
      <c r="K196" s="76">
        <f t="shared" si="23"/>
        <v>0</v>
      </c>
      <c r="L196" s="76">
        <f t="shared" si="23"/>
        <v>0</v>
      </c>
      <c r="M196" s="76">
        <f t="shared" si="23"/>
        <v>0</v>
      </c>
      <c r="N196" s="76">
        <f t="shared" si="23"/>
        <v>0</v>
      </c>
      <c r="O196" s="76">
        <f t="shared" si="23"/>
        <v>0</v>
      </c>
      <c r="P196" s="76">
        <f t="shared" si="23"/>
        <v>0</v>
      </c>
      <c r="Q196" s="76">
        <f t="shared" si="23"/>
        <v>0</v>
      </c>
    </row>
    <row r="198" spans="2:17" x14ac:dyDescent="0.2">
      <c r="B198" s="22" t="s">
        <v>11</v>
      </c>
    </row>
    <row r="199" spans="2:17" x14ac:dyDescent="0.2">
      <c r="B199" s="19" t="s">
        <v>21</v>
      </c>
      <c r="C199" s="19"/>
      <c r="D199" s="19"/>
      <c r="E199" s="19"/>
      <c r="F199" s="19"/>
      <c r="G199" s="19"/>
      <c r="H199" s="19"/>
      <c r="I199" s="19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16" t="s">
        <v>20</v>
      </c>
      <c r="C200" s="16"/>
      <c r="D200" s="16"/>
      <c r="E200" s="16"/>
      <c r="F200" s="16"/>
      <c r="G200" s="16"/>
      <c r="H200" s="16"/>
      <c r="I200" s="16"/>
      <c r="J200" s="72"/>
      <c r="K200" s="72"/>
      <c r="L200" s="72"/>
      <c r="M200" s="72"/>
      <c r="N200" s="72"/>
      <c r="O200" s="72"/>
      <c r="P200" s="72"/>
      <c r="Q200" s="72"/>
    </row>
    <row r="201" spans="2:17" x14ac:dyDescent="0.2">
      <c r="B201" s="16" t="s">
        <v>43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7" t="s">
        <v>44</v>
      </c>
      <c r="C202" s="17"/>
      <c r="D202" s="17"/>
      <c r="E202" s="17"/>
      <c r="F202" s="17"/>
      <c r="G202" s="17"/>
      <c r="H202" s="17"/>
      <c r="I202" s="17"/>
      <c r="J202" s="73"/>
      <c r="K202" s="73"/>
      <c r="L202" s="73"/>
      <c r="M202" s="73"/>
      <c r="N202" s="73"/>
      <c r="O202" s="73"/>
      <c r="P202" s="73"/>
      <c r="Q202" s="73"/>
    </row>
    <row r="203" spans="2:17" s="18" customFormat="1" x14ac:dyDescent="0.2">
      <c r="B203" s="9" t="s">
        <v>80</v>
      </c>
      <c r="C203" s="9"/>
      <c r="D203" s="9"/>
      <c r="E203" s="9"/>
      <c r="F203" s="9"/>
      <c r="G203" s="9"/>
      <c r="H203" s="9"/>
      <c r="I203" s="9"/>
      <c r="J203" s="51"/>
      <c r="K203" s="51"/>
      <c r="L203" s="51"/>
      <c r="M203" s="51"/>
      <c r="N203" s="51"/>
      <c r="O203" s="51"/>
      <c r="P203" s="51"/>
      <c r="Q203" s="51"/>
    </row>
    <row r="204" spans="2:17" s="70" customFormat="1" x14ac:dyDescent="0.2"/>
    <row r="205" spans="2:17" x14ac:dyDescent="0.2">
      <c r="B205" s="69" t="s">
        <v>150</v>
      </c>
      <c r="C205" s="69"/>
      <c r="D205" s="69"/>
      <c r="E205" s="69"/>
      <c r="F205" s="69"/>
      <c r="G205" s="69"/>
      <c r="H205" s="69"/>
      <c r="I205" s="69"/>
      <c r="J205" s="102"/>
      <c r="K205" s="102"/>
      <c r="L205" s="102"/>
      <c r="M205" s="102"/>
      <c r="N205" s="102"/>
      <c r="O205" s="102"/>
      <c r="P205" s="102"/>
      <c r="Q205" s="102"/>
    </row>
    <row r="206" spans="2:17" s="70" customFormat="1" x14ac:dyDescent="0.2"/>
    <row r="207" spans="2:17" x14ac:dyDescent="0.2">
      <c r="B207" s="22" t="s">
        <v>151</v>
      </c>
    </row>
    <row r="208" spans="2:17" x14ac:dyDescent="0.2">
      <c r="B208" s="19" t="s">
        <v>21</v>
      </c>
      <c r="C208" s="19"/>
      <c r="D208" s="19"/>
      <c r="E208" s="19"/>
      <c r="F208" s="19"/>
      <c r="G208" s="19"/>
      <c r="H208" s="19"/>
      <c r="I208" s="19"/>
      <c r="J208" s="82"/>
      <c r="K208" s="82"/>
      <c r="L208" s="82"/>
      <c r="M208" s="82"/>
      <c r="N208" s="82"/>
      <c r="O208" s="82"/>
      <c r="P208" s="82"/>
      <c r="Q208" s="82"/>
    </row>
    <row r="209" spans="1:24" x14ac:dyDescent="0.2">
      <c r="B209" s="16" t="s">
        <v>20</v>
      </c>
      <c r="C209" s="16"/>
      <c r="D209" s="16"/>
      <c r="E209" s="16"/>
      <c r="F209" s="16"/>
      <c r="G209" s="16"/>
      <c r="H209" s="16"/>
      <c r="I209" s="16"/>
      <c r="J209" s="72"/>
      <c r="K209" s="72"/>
      <c r="L209" s="72"/>
      <c r="M209" s="72"/>
      <c r="N209" s="72"/>
      <c r="O209" s="72"/>
      <c r="P209" s="72"/>
      <c r="Q209" s="72"/>
    </row>
    <row r="210" spans="1:24" x14ac:dyDescent="0.2">
      <c r="B210" s="16" t="s">
        <v>43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7" t="s">
        <v>44</v>
      </c>
      <c r="C211" s="17"/>
      <c r="D211" s="17"/>
      <c r="E211" s="17"/>
      <c r="F211" s="17"/>
      <c r="G211" s="17"/>
      <c r="H211" s="17"/>
      <c r="I211" s="17"/>
      <c r="J211" s="72"/>
      <c r="K211" s="72"/>
      <c r="L211" s="72"/>
      <c r="M211" s="72"/>
      <c r="N211" s="72"/>
      <c r="O211" s="72"/>
      <c r="P211" s="72"/>
      <c r="Q211" s="72"/>
    </row>
    <row r="212" spans="1:24" s="18" customFormat="1" x14ac:dyDescent="0.2">
      <c r="B212" s="9" t="s">
        <v>80</v>
      </c>
      <c r="C212" s="9"/>
      <c r="D212" s="9"/>
      <c r="E212" s="9"/>
      <c r="F212" s="9"/>
      <c r="G212" s="9"/>
      <c r="H212" s="9"/>
      <c r="I212" s="9"/>
      <c r="J212" s="51"/>
      <c r="K212" s="51"/>
      <c r="L212" s="51"/>
      <c r="M212" s="51"/>
      <c r="N212" s="51"/>
      <c r="O212" s="51"/>
      <c r="P212" s="51"/>
      <c r="Q212" s="51"/>
    </row>
    <row r="215" spans="1:24" x14ac:dyDescent="0.2">
      <c r="A215" s="5" t="s">
        <v>35</v>
      </c>
      <c r="B215" s="6" t="s">
        <v>152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x14ac:dyDescent="0.2">
      <c r="B216" s="8" t="s">
        <v>37</v>
      </c>
    </row>
    <row r="218" spans="1:24" x14ac:dyDescent="0.2">
      <c r="B218" s="8" t="s">
        <v>88</v>
      </c>
      <c r="J218" s="54">
        <f t="shared" ref="J218:Q218" si="24">J$115</f>
        <v>43100</v>
      </c>
      <c r="K218" s="54">
        <f t="shared" si="24"/>
        <v>43465</v>
      </c>
      <c r="L218" s="54">
        <f t="shared" si="24"/>
        <v>43830</v>
      </c>
      <c r="M218" s="54">
        <f t="shared" si="24"/>
        <v>44196</v>
      </c>
      <c r="N218" s="54">
        <f t="shared" si="24"/>
        <v>44561</v>
      </c>
      <c r="O218" s="54">
        <f t="shared" si="24"/>
        <v>44926</v>
      </c>
      <c r="P218" s="54">
        <f t="shared" si="24"/>
        <v>45291</v>
      </c>
      <c r="Q218" s="54">
        <f t="shared" si="24"/>
        <v>45657</v>
      </c>
    </row>
    <row r="219" spans="1:24" ht="3" customHeight="1" x14ac:dyDescent="0.2"/>
    <row r="221" spans="1:24" x14ac:dyDescent="0.2">
      <c r="B221" s="9" t="s">
        <v>0</v>
      </c>
      <c r="C221" s="14"/>
      <c r="D221" s="14"/>
      <c r="E221" s="14"/>
      <c r="F221" s="14"/>
      <c r="G221" s="14"/>
      <c r="H221" s="14"/>
      <c r="I221" s="14"/>
      <c r="J221" s="103">
        <v>5.0000000000000001E-3</v>
      </c>
      <c r="K221" s="103">
        <v>1.0999999999999999E-2</v>
      </c>
      <c r="L221" s="103">
        <v>1.4999999999999999E-2</v>
      </c>
      <c r="M221" s="103">
        <v>2.1499999999999998E-2</v>
      </c>
      <c r="N221" s="103">
        <v>2.5000000000000001E-2</v>
      </c>
      <c r="O221" s="103">
        <v>0.03</v>
      </c>
      <c r="P221" s="103">
        <v>0.03</v>
      </c>
      <c r="Q221" s="103">
        <v>0.03</v>
      </c>
    </row>
    <row r="223" spans="1:24" x14ac:dyDescent="0.2">
      <c r="B223" s="22" t="s">
        <v>154</v>
      </c>
    </row>
    <row r="224" spans="1:24" x14ac:dyDescent="0.2">
      <c r="B224" s="19" t="s">
        <v>166</v>
      </c>
      <c r="C224" s="19"/>
      <c r="D224" s="19"/>
      <c r="E224" s="19"/>
      <c r="F224" s="19"/>
      <c r="G224" s="19"/>
      <c r="H224" s="19"/>
      <c r="I224" s="19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16" t="s">
        <v>21</v>
      </c>
      <c r="C225" s="16"/>
      <c r="D225" s="16"/>
      <c r="E225" s="16"/>
      <c r="F225" s="16"/>
      <c r="G225" s="16"/>
      <c r="H225" s="16"/>
      <c r="I225" s="16"/>
      <c r="J225" s="72"/>
      <c r="K225" s="72"/>
      <c r="L225" s="72"/>
      <c r="M225" s="72"/>
      <c r="N225" s="72"/>
      <c r="O225" s="72"/>
      <c r="P225" s="72"/>
      <c r="Q225" s="72"/>
    </row>
    <row r="226" spans="2:17" x14ac:dyDescent="0.2">
      <c r="B226" s="16" t="s">
        <v>20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43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7" t="s">
        <v>44</v>
      </c>
      <c r="C228" s="17"/>
      <c r="D228" s="17"/>
      <c r="E228" s="17"/>
      <c r="F228" s="17"/>
      <c r="G228" s="17"/>
      <c r="H228" s="17"/>
      <c r="I228" s="17"/>
      <c r="J228" s="73"/>
      <c r="K228" s="73"/>
      <c r="L228" s="73"/>
      <c r="M228" s="73"/>
      <c r="N228" s="73"/>
      <c r="O228" s="73"/>
      <c r="P228" s="73"/>
      <c r="Q228" s="73"/>
    </row>
    <row r="229" spans="2:17" s="63" customFormat="1" x14ac:dyDescent="0.2"/>
    <row r="230" spans="2:17" x14ac:dyDescent="0.2">
      <c r="B230" s="22" t="s">
        <v>153</v>
      </c>
      <c r="G230" s="105" t="s">
        <v>70</v>
      </c>
      <c r="H230" s="105" t="s">
        <v>29</v>
      </c>
    </row>
    <row r="231" spans="2:17" x14ac:dyDescent="0.2">
      <c r="B231" s="19" t="s">
        <v>166</v>
      </c>
      <c r="C231" s="19"/>
      <c r="D231" s="19"/>
      <c r="E231" s="19"/>
      <c r="F231" s="19"/>
      <c r="G231" s="34">
        <v>0</v>
      </c>
      <c r="H231" s="108">
        <f>Q16</f>
        <v>3.5000000000000001E-3</v>
      </c>
      <c r="I231" s="19"/>
      <c r="J231" s="108"/>
      <c r="K231" s="108"/>
      <c r="L231" s="108"/>
      <c r="M231" s="108"/>
      <c r="N231" s="108"/>
      <c r="O231" s="108"/>
      <c r="P231" s="108"/>
      <c r="Q231" s="108"/>
    </row>
    <row r="232" spans="2:17" x14ac:dyDescent="0.2">
      <c r="B232" s="16" t="s">
        <v>21</v>
      </c>
      <c r="C232" s="16"/>
      <c r="D232" s="16"/>
      <c r="E232" s="16"/>
      <c r="F232" s="16"/>
      <c r="G232" s="106">
        <f t="shared" ref="G232:H235" si="25">S10</f>
        <v>1</v>
      </c>
      <c r="H232" s="110">
        <f t="shared" si="25"/>
        <v>0.02</v>
      </c>
      <c r="I232" s="16"/>
      <c r="J232" s="111"/>
      <c r="K232" s="111"/>
      <c r="L232" s="111"/>
      <c r="M232" s="111"/>
      <c r="N232" s="111"/>
      <c r="O232" s="111"/>
      <c r="P232" s="111"/>
      <c r="Q232" s="111"/>
    </row>
    <row r="233" spans="2:17" x14ac:dyDescent="0.2">
      <c r="B233" s="16" t="s">
        <v>20</v>
      </c>
      <c r="C233" s="16"/>
      <c r="D233" s="16"/>
      <c r="E233" s="16"/>
      <c r="F233" s="16"/>
      <c r="G233" s="106">
        <f t="shared" si="25"/>
        <v>1</v>
      </c>
      <c r="H233" s="109">
        <f t="shared" si="25"/>
        <v>0.03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43</v>
      </c>
      <c r="C234" s="16"/>
      <c r="D234" s="16"/>
      <c r="E234" s="16"/>
      <c r="F234" s="16"/>
      <c r="G234" s="106">
        <f t="shared" si="25"/>
        <v>0</v>
      </c>
      <c r="H234" s="111">
        <f t="shared" si="25"/>
        <v>7.0000000000000007E-2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7" t="s">
        <v>44</v>
      </c>
      <c r="C235" s="17"/>
      <c r="D235" s="17"/>
      <c r="E235" s="17"/>
      <c r="F235" s="17"/>
      <c r="G235" s="107">
        <f t="shared" si="25"/>
        <v>0</v>
      </c>
      <c r="H235" s="112">
        <f t="shared" si="25"/>
        <v>8.5000000000000006E-2</v>
      </c>
      <c r="I235" s="17"/>
      <c r="J235" s="112"/>
      <c r="K235" s="112"/>
      <c r="L235" s="112"/>
      <c r="M235" s="112"/>
      <c r="N235" s="112"/>
      <c r="O235" s="112"/>
      <c r="P235" s="112"/>
      <c r="Q235" s="112"/>
    </row>
    <row r="237" spans="2:17" x14ac:dyDescent="0.2">
      <c r="B237" s="22" t="s">
        <v>1</v>
      </c>
    </row>
    <row r="238" spans="2:17" x14ac:dyDescent="0.2">
      <c r="B238" s="19" t="s">
        <v>166</v>
      </c>
      <c r="C238" s="19"/>
      <c r="D238" s="19"/>
      <c r="E238" s="19"/>
      <c r="F238" s="19"/>
      <c r="G238" s="19"/>
      <c r="H238" s="19"/>
      <c r="I238" s="19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16" t="s">
        <v>21</v>
      </c>
      <c r="C239" s="16"/>
      <c r="D239" s="16"/>
      <c r="E239" s="16"/>
      <c r="F239" s="16"/>
      <c r="G239" s="16"/>
      <c r="H239" s="16"/>
      <c r="I239" s="16"/>
      <c r="J239" s="72"/>
      <c r="K239" s="72"/>
      <c r="L239" s="72"/>
      <c r="M239" s="72"/>
      <c r="N239" s="72"/>
      <c r="O239" s="72"/>
      <c r="P239" s="72"/>
      <c r="Q239" s="72"/>
    </row>
    <row r="240" spans="2:17" x14ac:dyDescent="0.2">
      <c r="B240" s="16" t="s">
        <v>20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43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7" t="s">
        <v>44</v>
      </c>
      <c r="C242" s="17"/>
      <c r="D242" s="17"/>
      <c r="E242" s="17"/>
      <c r="F242" s="17"/>
      <c r="G242" s="17"/>
      <c r="H242" s="17"/>
      <c r="I242" s="17"/>
      <c r="J242" s="73"/>
      <c r="K242" s="73"/>
      <c r="L242" s="73"/>
      <c r="M242" s="73"/>
      <c r="N242" s="73"/>
      <c r="O242" s="73"/>
      <c r="P242" s="73"/>
      <c r="Q242" s="73"/>
    </row>
    <row r="243" spans="2:17" s="18" customFormat="1" x14ac:dyDescent="0.2">
      <c r="B243" s="9" t="s">
        <v>80</v>
      </c>
      <c r="C243" s="9"/>
      <c r="D243" s="9"/>
      <c r="E243" s="9"/>
      <c r="F243" s="9"/>
      <c r="G243" s="9"/>
      <c r="H243" s="9"/>
      <c r="I243" s="9"/>
      <c r="J243" s="51"/>
      <c r="K243" s="51"/>
      <c r="L243" s="51"/>
      <c r="M243" s="51"/>
      <c r="N243" s="51"/>
      <c r="O243" s="51"/>
      <c r="P243" s="51"/>
      <c r="Q243" s="51"/>
    </row>
    <row r="245" spans="2:17" s="63" customFormat="1" x14ac:dyDescent="0.2">
      <c r="B245" s="104" t="s">
        <v>155</v>
      </c>
      <c r="G245" s="115" t="s">
        <v>12</v>
      </c>
    </row>
    <row r="246" spans="2:17" x14ac:dyDescent="0.2">
      <c r="B246" s="19" t="s">
        <v>43</v>
      </c>
      <c r="C246" s="19"/>
      <c r="D246" s="19"/>
      <c r="E246" s="19"/>
      <c r="F246" s="19"/>
      <c r="G246" s="113">
        <f>V12</f>
        <v>0</v>
      </c>
      <c r="H246" s="19"/>
      <c r="I246" s="19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17" t="s">
        <v>44</v>
      </c>
      <c r="C247" s="17"/>
      <c r="D247" s="17"/>
      <c r="E247" s="17"/>
      <c r="F247" s="17"/>
      <c r="G247" s="114">
        <f>V13</f>
        <v>3</v>
      </c>
      <c r="H247" s="17"/>
      <c r="I247" s="17"/>
      <c r="J247" s="73"/>
      <c r="K247" s="73"/>
      <c r="L247" s="73"/>
      <c r="M247" s="73"/>
      <c r="N247" s="73"/>
      <c r="O247" s="73"/>
      <c r="P247" s="73"/>
      <c r="Q247" s="73"/>
    </row>
    <row r="248" spans="2:17" s="18" customFormat="1" x14ac:dyDescent="0.2">
      <c r="B248" s="9" t="s">
        <v>80</v>
      </c>
      <c r="C248" s="9"/>
      <c r="D248" s="9"/>
      <c r="E248" s="9"/>
      <c r="F248" s="9"/>
      <c r="G248" s="9"/>
      <c r="H248" s="9"/>
      <c r="I248" s="9"/>
      <c r="J248" s="51"/>
      <c r="K248" s="51"/>
      <c r="L248" s="51"/>
      <c r="M248" s="51"/>
      <c r="N248" s="51"/>
      <c r="O248" s="51"/>
      <c r="P248" s="51"/>
      <c r="Q248" s="51"/>
    </row>
    <row r="250" spans="2:17" s="63" customFormat="1" x14ac:dyDescent="0.2">
      <c r="B250" s="104" t="s">
        <v>156</v>
      </c>
      <c r="G250" s="115" t="s">
        <v>167</v>
      </c>
      <c r="H250" s="115" t="s">
        <v>68</v>
      </c>
    </row>
    <row r="251" spans="2:17" x14ac:dyDescent="0.2">
      <c r="B251" s="19" t="s">
        <v>21</v>
      </c>
      <c r="C251" s="19"/>
      <c r="D251" s="19"/>
      <c r="E251" s="19"/>
      <c r="F251" s="19"/>
      <c r="G251" s="116">
        <f>T22</f>
        <v>0.5</v>
      </c>
      <c r="H251" s="113">
        <f>R10</f>
        <v>5</v>
      </c>
      <c r="I251" s="19"/>
      <c r="J251" s="82"/>
      <c r="K251" s="82"/>
      <c r="L251" s="82"/>
      <c r="M251" s="82"/>
      <c r="N251" s="82"/>
      <c r="O251" s="82"/>
      <c r="P251" s="82"/>
      <c r="Q251" s="82"/>
    </row>
    <row r="252" spans="2:17" x14ac:dyDescent="0.2">
      <c r="B252" s="16" t="s">
        <v>20</v>
      </c>
      <c r="C252" s="16"/>
      <c r="D252" s="16"/>
      <c r="E252" s="16"/>
      <c r="F252" s="16"/>
      <c r="G252" s="117">
        <f>T23</f>
        <v>3.4375</v>
      </c>
      <c r="H252" s="118">
        <f>R11</f>
        <v>6</v>
      </c>
      <c r="I252" s="16"/>
      <c r="J252" s="72"/>
      <c r="K252" s="72"/>
      <c r="L252" s="72"/>
      <c r="M252" s="72"/>
      <c r="N252" s="72"/>
      <c r="O252" s="72"/>
      <c r="P252" s="72"/>
      <c r="Q252" s="72"/>
    </row>
    <row r="253" spans="2:17" x14ac:dyDescent="0.2">
      <c r="B253" s="16" t="s">
        <v>43</v>
      </c>
      <c r="C253" s="16"/>
      <c r="D253" s="16"/>
      <c r="E253" s="16"/>
      <c r="F253" s="16"/>
      <c r="G253" s="117">
        <f>T25</f>
        <v>4.5</v>
      </c>
      <c r="H253" s="118">
        <f>R12</f>
        <v>8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7" t="s">
        <v>44</v>
      </c>
      <c r="C254" s="17"/>
      <c r="D254" s="17"/>
      <c r="E254" s="17"/>
      <c r="F254" s="17"/>
      <c r="G254" s="119">
        <f>T27</f>
        <v>2.5</v>
      </c>
      <c r="H254" s="114">
        <f>R13</f>
        <v>10</v>
      </c>
      <c r="I254" s="17"/>
      <c r="J254" s="73"/>
      <c r="K254" s="73"/>
      <c r="L254" s="73"/>
      <c r="M254" s="73"/>
      <c r="N254" s="73"/>
      <c r="O254" s="73"/>
      <c r="P254" s="73"/>
      <c r="Q254" s="73"/>
    </row>
    <row r="255" spans="2:17" s="18" customFormat="1" x14ac:dyDescent="0.2">
      <c r="B255" s="9" t="s">
        <v>80</v>
      </c>
      <c r="C255" s="9"/>
      <c r="D255" s="9"/>
      <c r="E255" s="9"/>
      <c r="F255" s="9"/>
      <c r="G255" s="9"/>
      <c r="H255" s="9"/>
      <c r="I255" s="9"/>
      <c r="J255" s="51"/>
      <c r="K255" s="51"/>
      <c r="L255" s="51"/>
      <c r="M255" s="51"/>
      <c r="N255" s="51"/>
      <c r="O255" s="51"/>
      <c r="P255" s="51"/>
      <c r="Q255" s="51"/>
    </row>
    <row r="257" spans="1:24" x14ac:dyDescent="0.2">
      <c r="B257" s="22" t="s">
        <v>158</v>
      </c>
    </row>
    <row r="258" spans="1:24" x14ac:dyDescent="0.2">
      <c r="B258" s="19" t="s">
        <v>1</v>
      </c>
      <c r="C258" s="19"/>
      <c r="D258" s="19"/>
      <c r="E258" s="19"/>
      <c r="F258" s="19"/>
      <c r="G258" s="19"/>
      <c r="H258" s="19"/>
      <c r="I258" s="19"/>
      <c r="J258" s="82"/>
      <c r="K258" s="82"/>
      <c r="L258" s="82"/>
      <c r="M258" s="82"/>
      <c r="N258" s="82"/>
      <c r="O258" s="82"/>
      <c r="P258" s="82"/>
      <c r="Q258" s="82"/>
    </row>
    <row r="259" spans="1:24" x14ac:dyDescent="0.2">
      <c r="B259" s="20" t="s">
        <v>157</v>
      </c>
      <c r="J259" s="50"/>
      <c r="K259" s="50"/>
      <c r="L259" s="50"/>
      <c r="M259" s="50"/>
      <c r="N259" s="50"/>
      <c r="O259" s="50"/>
      <c r="P259" s="50"/>
      <c r="Q259" s="50"/>
    </row>
    <row r="260" spans="1:24" s="18" customFormat="1" x14ac:dyDescent="0.2">
      <c r="B260" s="9" t="s">
        <v>24</v>
      </c>
      <c r="C260" s="9"/>
      <c r="D260" s="9"/>
      <c r="E260" s="9"/>
      <c r="F260" s="9"/>
      <c r="G260" s="9"/>
      <c r="H260" s="9"/>
      <c r="I260" s="9"/>
      <c r="J260" s="51"/>
      <c r="K260" s="51"/>
      <c r="L260" s="51"/>
      <c r="M260" s="51"/>
      <c r="N260" s="51"/>
      <c r="O260" s="51"/>
      <c r="P260" s="51"/>
      <c r="Q260" s="51"/>
    </row>
    <row r="261" spans="1:24" x14ac:dyDescent="0.2">
      <c r="B261" s="20" t="s">
        <v>159</v>
      </c>
      <c r="J261" s="50"/>
      <c r="K261" s="50"/>
      <c r="L261" s="50"/>
      <c r="M261" s="50"/>
      <c r="N261" s="50"/>
      <c r="O261" s="50"/>
      <c r="P261" s="50"/>
      <c r="Q261" s="50"/>
    </row>
    <row r="262" spans="1:24" s="18" customFormat="1" x14ac:dyDescent="0.2">
      <c r="B262" s="9" t="s">
        <v>158</v>
      </c>
      <c r="C262" s="9"/>
      <c r="D262" s="9"/>
      <c r="E262" s="9"/>
      <c r="F262" s="9"/>
      <c r="G262" s="9"/>
      <c r="H262" s="9"/>
      <c r="I262" s="9"/>
      <c r="J262" s="51"/>
      <c r="K262" s="51"/>
      <c r="L262" s="51"/>
      <c r="M262" s="51"/>
      <c r="N262" s="51"/>
      <c r="O262" s="51"/>
      <c r="P262" s="51"/>
      <c r="Q262" s="51"/>
    </row>
    <row r="264" spans="1:24" x14ac:dyDescent="0.2">
      <c r="B264" s="22" t="s">
        <v>160</v>
      </c>
    </row>
    <row r="265" spans="1:24" x14ac:dyDescent="0.2">
      <c r="B265" s="19" t="s">
        <v>155</v>
      </c>
      <c r="C265" s="19"/>
      <c r="D265" s="19"/>
      <c r="E265" s="19"/>
      <c r="F265" s="19"/>
      <c r="G265" s="19"/>
      <c r="H265" s="19"/>
      <c r="I265" s="19"/>
      <c r="J265" s="82"/>
      <c r="K265" s="82"/>
      <c r="L265" s="82"/>
      <c r="M265" s="82"/>
      <c r="N265" s="82"/>
      <c r="O265" s="82"/>
      <c r="P265" s="82"/>
      <c r="Q265" s="82"/>
    </row>
    <row r="266" spans="1:24" x14ac:dyDescent="0.2">
      <c r="B266" s="20" t="s">
        <v>157</v>
      </c>
      <c r="J266" s="50"/>
      <c r="K266" s="50"/>
      <c r="L266" s="50"/>
      <c r="M266" s="50"/>
      <c r="N266" s="50"/>
      <c r="O266" s="50"/>
      <c r="P266" s="50"/>
      <c r="Q266" s="50"/>
    </row>
    <row r="267" spans="1:24" x14ac:dyDescent="0.2">
      <c r="B267" s="9" t="s">
        <v>161</v>
      </c>
      <c r="C267" s="9"/>
      <c r="D267" s="9"/>
      <c r="E267" s="9"/>
      <c r="F267" s="9"/>
      <c r="G267" s="9"/>
      <c r="H267" s="9"/>
      <c r="I267" s="9"/>
      <c r="J267" s="51"/>
      <c r="K267" s="51"/>
      <c r="L267" s="51"/>
      <c r="M267" s="51"/>
      <c r="N267" s="51"/>
      <c r="O267" s="51"/>
      <c r="P267" s="51"/>
      <c r="Q267" s="51"/>
    </row>
    <row r="271" spans="1:24" x14ac:dyDescent="0.2">
      <c r="A271" s="5" t="s">
        <v>35</v>
      </c>
      <c r="B271" s="6" t="s">
        <v>162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x14ac:dyDescent="0.2">
      <c r="B272" s="8" t="s">
        <v>37</v>
      </c>
    </row>
    <row r="274" spans="2:17" x14ac:dyDescent="0.2">
      <c r="B274" s="8" t="s">
        <v>88</v>
      </c>
      <c r="I274" s="140">
        <f>I$115</f>
        <v>42735</v>
      </c>
      <c r="J274" s="54">
        <f t="shared" ref="J274:Q274" si="26">J$115</f>
        <v>43100</v>
      </c>
      <c r="K274" s="54">
        <f t="shared" si="26"/>
        <v>43465</v>
      </c>
      <c r="L274" s="54">
        <f t="shared" si="26"/>
        <v>43830</v>
      </c>
      <c r="M274" s="54">
        <f t="shared" si="26"/>
        <v>44196</v>
      </c>
      <c r="N274" s="54">
        <f t="shared" si="26"/>
        <v>44561</v>
      </c>
      <c r="O274" s="54">
        <f t="shared" si="26"/>
        <v>44926</v>
      </c>
      <c r="P274" s="54">
        <f t="shared" si="26"/>
        <v>45291</v>
      </c>
      <c r="Q274" s="54">
        <f t="shared" si="26"/>
        <v>45657</v>
      </c>
    </row>
    <row r="275" spans="2:17" ht="3" customHeight="1" x14ac:dyDescent="0.2"/>
    <row r="277" spans="2:17" x14ac:dyDescent="0.2">
      <c r="B277" s="22" t="s">
        <v>171</v>
      </c>
    </row>
    <row r="278" spans="2:17" x14ac:dyDescent="0.2">
      <c r="B278" s="19" t="s">
        <v>77</v>
      </c>
      <c r="C278" s="19"/>
      <c r="D278" s="19"/>
      <c r="E278" s="19"/>
      <c r="F278" s="19"/>
      <c r="G278" s="19"/>
      <c r="H278" s="19"/>
      <c r="I278" s="82"/>
      <c r="J278" s="82"/>
      <c r="K278" s="82"/>
      <c r="L278" s="82"/>
      <c r="M278" s="82"/>
      <c r="N278" s="82"/>
      <c r="O278" s="82"/>
      <c r="P278" s="82"/>
      <c r="Q278" s="82"/>
    </row>
    <row r="279" spans="2:17" x14ac:dyDescent="0.2">
      <c r="B279" s="16" t="s">
        <v>78</v>
      </c>
      <c r="C279" s="16"/>
      <c r="D279" s="16"/>
      <c r="E279" s="16"/>
      <c r="F279" s="16"/>
      <c r="G279" s="16"/>
      <c r="H279" s="16"/>
      <c r="I279" s="72"/>
      <c r="J279" s="72"/>
      <c r="K279" s="72"/>
      <c r="L279" s="72"/>
      <c r="M279" s="72"/>
      <c r="N279" s="72"/>
      <c r="O279" s="72"/>
      <c r="P279" s="72"/>
      <c r="Q279" s="72"/>
    </row>
    <row r="280" spans="2:17" x14ac:dyDescent="0.2">
      <c r="B280" s="17" t="s">
        <v>33</v>
      </c>
      <c r="C280" s="17"/>
      <c r="D280" s="17"/>
      <c r="E280" s="17"/>
      <c r="F280" s="17"/>
      <c r="G280" s="17"/>
      <c r="H280" s="17"/>
      <c r="I280" s="73"/>
      <c r="J280" s="73"/>
      <c r="K280" s="73"/>
      <c r="L280" s="73"/>
      <c r="M280" s="73"/>
      <c r="N280" s="73"/>
      <c r="O280" s="73"/>
      <c r="P280" s="73"/>
      <c r="Q280" s="73"/>
    </row>
    <row r="282" spans="2:17" x14ac:dyDescent="0.2">
      <c r="B282" s="22" t="s">
        <v>172</v>
      </c>
    </row>
    <row r="283" spans="2:17" x14ac:dyDescent="0.2">
      <c r="B283" s="19" t="s">
        <v>90</v>
      </c>
      <c r="C283" s="19"/>
      <c r="D283" s="19"/>
      <c r="E283" s="19"/>
      <c r="F283" s="19"/>
      <c r="G283" s="19"/>
      <c r="H283" s="19"/>
      <c r="I283" s="82"/>
      <c r="J283" s="82"/>
      <c r="K283" s="82"/>
      <c r="L283" s="82"/>
      <c r="M283" s="82"/>
      <c r="N283" s="82"/>
      <c r="O283" s="82"/>
      <c r="P283" s="82"/>
      <c r="Q283" s="82"/>
    </row>
    <row r="284" spans="2:17" x14ac:dyDescent="0.2">
      <c r="B284" s="16" t="s">
        <v>169</v>
      </c>
      <c r="C284" s="16"/>
      <c r="D284" s="16"/>
      <c r="E284" s="16"/>
      <c r="F284" s="16"/>
      <c r="G284" s="16"/>
      <c r="H284" s="16"/>
      <c r="I284" s="16"/>
      <c r="J284" s="72"/>
      <c r="K284" s="72"/>
      <c r="L284" s="72"/>
      <c r="M284" s="72"/>
      <c r="N284" s="72"/>
      <c r="O284" s="72"/>
      <c r="P284" s="72"/>
      <c r="Q284" s="72"/>
    </row>
    <row r="285" spans="2:17" x14ac:dyDescent="0.2">
      <c r="B285" s="17" t="s">
        <v>170</v>
      </c>
      <c r="C285" s="17"/>
      <c r="D285" s="17"/>
      <c r="E285" s="17"/>
      <c r="F285" s="17"/>
      <c r="G285" s="17"/>
      <c r="H285" s="17"/>
      <c r="I285" s="17"/>
      <c r="J285" s="73"/>
      <c r="K285" s="73"/>
      <c r="L285" s="73"/>
      <c r="M285" s="73"/>
      <c r="N285" s="73"/>
      <c r="O285" s="73"/>
      <c r="P285" s="73"/>
      <c r="Q285" s="73"/>
    </row>
    <row r="287" spans="2:17" x14ac:dyDescent="0.2">
      <c r="B287" s="22" t="s">
        <v>13</v>
      </c>
    </row>
    <row r="288" spans="2:17" x14ac:dyDescent="0.2">
      <c r="B288" s="19" t="s">
        <v>174</v>
      </c>
      <c r="C288" s="19"/>
      <c r="D288" s="19"/>
      <c r="E288" s="19"/>
      <c r="F288" s="19"/>
      <c r="G288" s="19"/>
      <c r="H288" s="19"/>
      <c r="I288" s="122"/>
      <c r="J288" s="122"/>
      <c r="K288" s="122"/>
      <c r="L288" s="122"/>
      <c r="M288" s="122"/>
      <c r="N288" s="122"/>
      <c r="O288" s="122"/>
      <c r="P288" s="122"/>
      <c r="Q288" s="122"/>
    </row>
    <row r="289" spans="1:24" x14ac:dyDescent="0.2">
      <c r="B289" s="16" t="s">
        <v>175</v>
      </c>
      <c r="C289" s="16"/>
      <c r="D289" s="16"/>
      <c r="E289" s="16"/>
      <c r="F289" s="16"/>
      <c r="G289" s="16"/>
      <c r="H289" s="16"/>
      <c r="I289" s="123"/>
      <c r="J289" s="123"/>
      <c r="K289" s="123"/>
      <c r="L289" s="123"/>
      <c r="M289" s="123"/>
      <c r="N289" s="123"/>
      <c r="O289" s="123"/>
      <c r="P289" s="123"/>
      <c r="Q289" s="123"/>
    </row>
    <row r="290" spans="1:24" x14ac:dyDescent="0.2">
      <c r="B290" s="17" t="s">
        <v>173</v>
      </c>
      <c r="C290" s="17"/>
      <c r="D290" s="17"/>
      <c r="E290" s="17"/>
      <c r="F290" s="17"/>
      <c r="G290" s="17"/>
      <c r="H290" s="17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2" spans="1:24" x14ac:dyDescent="0.2">
      <c r="B292" s="22" t="s">
        <v>14</v>
      </c>
    </row>
    <row r="293" spans="1:24" x14ac:dyDescent="0.2">
      <c r="B293" s="19" t="s">
        <v>176</v>
      </c>
      <c r="C293" s="19"/>
      <c r="D293" s="19"/>
      <c r="E293" s="19"/>
      <c r="F293" s="19"/>
      <c r="G293" s="19"/>
      <c r="H293" s="19"/>
      <c r="I293" s="19"/>
      <c r="J293" s="122"/>
      <c r="K293" s="122"/>
      <c r="L293" s="122"/>
      <c r="M293" s="122"/>
      <c r="N293" s="122"/>
      <c r="O293" s="122"/>
      <c r="P293" s="122"/>
      <c r="Q293" s="122"/>
    </row>
    <row r="294" spans="1:24" x14ac:dyDescent="0.2">
      <c r="B294" s="3" t="s">
        <v>177</v>
      </c>
      <c r="J294" s="124"/>
      <c r="K294" s="124"/>
      <c r="L294" s="124"/>
      <c r="M294" s="124"/>
      <c r="N294" s="124"/>
      <c r="O294" s="124"/>
      <c r="P294" s="124"/>
      <c r="Q294" s="124"/>
    </row>
    <row r="295" spans="1:24" s="63" customFormat="1" x14ac:dyDescent="0.2"/>
    <row r="299" spans="1:24" x14ac:dyDescent="0.2">
      <c r="A299" s="5" t="s">
        <v>35</v>
      </c>
      <c r="B299" s="6" t="s">
        <v>163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x14ac:dyDescent="0.2">
      <c r="B300" s="8" t="s">
        <v>37</v>
      </c>
    </row>
    <row r="302" spans="1:24" x14ac:dyDescent="0.2">
      <c r="B302" s="8" t="s">
        <v>88</v>
      </c>
      <c r="I302" s="140">
        <f t="shared" ref="I302" si="27">I$115</f>
        <v>42735</v>
      </c>
      <c r="J302" s="54">
        <f t="shared" ref="J302:Q302" si="28">J$115</f>
        <v>43100</v>
      </c>
      <c r="K302" s="54">
        <f t="shared" si="28"/>
        <v>43465</v>
      </c>
      <c r="L302" s="54">
        <f t="shared" si="28"/>
        <v>43830</v>
      </c>
      <c r="M302" s="54">
        <f t="shared" si="28"/>
        <v>44196</v>
      </c>
      <c r="N302" s="54">
        <f t="shared" si="28"/>
        <v>44561</v>
      </c>
      <c r="O302" s="54">
        <f t="shared" si="28"/>
        <v>44926</v>
      </c>
      <c r="P302" s="54">
        <f t="shared" si="28"/>
        <v>45291</v>
      </c>
      <c r="Q302" s="54">
        <f t="shared" si="28"/>
        <v>45657</v>
      </c>
    </row>
    <row r="303" spans="1:24" ht="3" customHeight="1" x14ac:dyDescent="0.2"/>
    <row r="305" spans="2:17" x14ac:dyDescent="0.2">
      <c r="B305" s="125" t="s">
        <v>53</v>
      </c>
      <c r="C305" s="125"/>
      <c r="D305" s="125"/>
      <c r="E305" s="125"/>
      <c r="F305" s="125"/>
      <c r="G305" s="125"/>
      <c r="H305" s="125"/>
      <c r="I305" s="125"/>
      <c r="J305" s="126"/>
      <c r="K305" s="126"/>
      <c r="L305" s="126"/>
      <c r="M305" s="126"/>
      <c r="N305" s="126"/>
      <c r="O305" s="126"/>
      <c r="P305" s="126"/>
      <c r="Q305" s="126"/>
    </row>
    <row r="307" spans="2:17" x14ac:dyDescent="0.2">
      <c r="B307" s="19" t="s">
        <v>33</v>
      </c>
      <c r="C307" s="19"/>
      <c r="D307" s="19"/>
      <c r="E307" s="19"/>
      <c r="F307" s="19"/>
      <c r="G307" s="19"/>
      <c r="H307" s="19"/>
      <c r="I307" s="19"/>
      <c r="J307" s="82"/>
      <c r="K307" s="82"/>
      <c r="L307" s="82"/>
      <c r="M307" s="82"/>
      <c r="N307" s="82"/>
      <c r="O307" s="82"/>
      <c r="P307" s="82"/>
      <c r="Q307" s="82"/>
    </row>
    <row r="308" spans="2:17" x14ac:dyDescent="0.2">
      <c r="B308" s="20" t="s">
        <v>178</v>
      </c>
      <c r="J308" s="50"/>
      <c r="K308" s="50"/>
      <c r="L308" s="50"/>
      <c r="M308" s="50"/>
      <c r="N308" s="50"/>
      <c r="O308" s="50"/>
      <c r="P308" s="50"/>
      <c r="Q308" s="50"/>
    </row>
    <row r="309" spans="2:17" x14ac:dyDescent="0.2">
      <c r="B309" s="9" t="s">
        <v>23</v>
      </c>
      <c r="C309" s="14"/>
      <c r="D309" s="14"/>
      <c r="E309" s="14"/>
      <c r="F309" s="14"/>
      <c r="G309" s="14"/>
      <c r="H309" s="14"/>
      <c r="I309" s="14"/>
      <c r="J309" s="51"/>
      <c r="K309" s="51"/>
      <c r="L309" s="51"/>
      <c r="M309" s="51"/>
      <c r="N309" s="51"/>
      <c r="O309" s="51"/>
      <c r="P309" s="51"/>
      <c r="Q309" s="51"/>
    </row>
    <row r="312" spans="2:17" x14ac:dyDescent="0.2">
      <c r="B312" s="22" t="s">
        <v>18</v>
      </c>
    </row>
    <row r="313" spans="2:17" x14ac:dyDescent="0.2">
      <c r="B313" s="8" t="s">
        <v>179</v>
      </c>
    </row>
    <row r="315" spans="2:17" x14ac:dyDescent="0.2">
      <c r="E315" s="127">
        <f>E316-0.5</f>
        <v>7</v>
      </c>
      <c r="F315" s="19"/>
      <c r="G315" s="19"/>
      <c r="H315" s="19"/>
      <c r="I315" s="19"/>
      <c r="J315" s="82"/>
      <c r="K315" s="82"/>
      <c r="L315" s="82"/>
      <c r="M315" s="82"/>
      <c r="N315" s="82"/>
      <c r="O315" s="82"/>
      <c r="P315" s="82"/>
      <c r="Q315" s="82"/>
    </row>
    <row r="316" spans="2:17" x14ac:dyDescent="0.2">
      <c r="E316" s="127">
        <f>E317-0.5</f>
        <v>7.5</v>
      </c>
      <c r="F316" s="16"/>
      <c r="G316" s="16"/>
      <c r="H316" s="16"/>
      <c r="I316" s="16"/>
      <c r="J316" s="72"/>
      <c r="K316" s="72"/>
      <c r="L316" s="72"/>
      <c r="M316" s="72"/>
      <c r="N316" s="72"/>
      <c r="O316" s="72"/>
      <c r="P316" s="72"/>
      <c r="Q316" s="72"/>
    </row>
    <row r="317" spans="2:17" x14ac:dyDescent="0.2">
      <c r="E317" s="127">
        <f>E318-0.5</f>
        <v>8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MROUND(E319,0.5)-0.5</f>
        <v>8.5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8">
        <f>$M$10</f>
        <v>9</v>
      </c>
      <c r="F319" s="129"/>
      <c r="G319" s="129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</row>
    <row r="320" spans="2:17" x14ac:dyDescent="0.2">
      <c r="E320" s="127">
        <f>MROUND(E319,0.5)+0.5</f>
        <v>9.5</v>
      </c>
      <c r="F320" s="16"/>
      <c r="G320" s="16"/>
      <c r="H320" s="16"/>
      <c r="I320" s="16"/>
      <c r="J320" s="72"/>
      <c r="K320" s="72"/>
      <c r="L320" s="72"/>
      <c r="M320" s="72"/>
      <c r="N320" s="72"/>
      <c r="O320" s="72"/>
      <c r="P320" s="72"/>
      <c r="Q320" s="72"/>
    </row>
    <row r="321" spans="2:17" x14ac:dyDescent="0.2">
      <c r="E321" s="127">
        <f>E320+0.5</f>
        <v>10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10.5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11</v>
      </c>
      <c r="F323" s="17"/>
      <c r="G323" s="17"/>
      <c r="H323" s="17"/>
      <c r="I323" s="17"/>
      <c r="J323" s="73"/>
      <c r="K323" s="73"/>
      <c r="L323" s="73"/>
      <c r="M323" s="73"/>
      <c r="N323" s="73"/>
      <c r="O323" s="73"/>
      <c r="P323" s="73"/>
      <c r="Q323" s="73"/>
    </row>
    <row r="326" spans="2:17" x14ac:dyDescent="0.2">
      <c r="B326" s="22" t="s">
        <v>62</v>
      </c>
    </row>
    <row r="327" spans="2:17" x14ac:dyDescent="0.2">
      <c r="B327" s="8" t="s">
        <v>179</v>
      </c>
    </row>
    <row r="329" spans="2:17" x14ac:dyDescent="0.2">
      <c r="E329" s="127">
        <f t="array" ref="E329:E337">$E$315:$E$323</f>
        <v>7</v>
      </c>
      <c r="F329" s="19"/>
      <c r="G329" s="19"/>
      <c r="H329" s="19"/>
      <c r="I329" s="19"/>
      <c r="J329" s="82"/>
      <c r="K329" s="82"/>
      <c r="L329" s="82"/>
      <c r="M329" s="82"/>
      <c r="N329" s="82"/>
      <c r="O329" s="82"/>
      <c r="P329" s="82"/>
      <c r="Q329" s="82"/>
    </row>
    <row r="330" spans="2:17" x14ac:dyDescent="0.2">
      <c r="E330" s="127">
        <v>7.5</v>
      </c>
      <c r="F330" s="16"/>
      <c r="G330" s="16"/>
      <c r="H330" s="16"/>
      <c r="I330" s="16"/>
      <c r="J330" s="72"/>
      <c r="K330" s="72"/>
      <c r="L330" s="72"/>
      <c r="M330" s="72"/>
      <c r="N330" s="72"/>
      <c r="O330" s="72"/>
      <c r="P330" s="72"/>
      <c r="Q330" s="72"/>
    </row>
    <row r="331" spans="2:17" x14ac:dyDescent="0.2">
      <c r="E331" s="127">
        <v>8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8.5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8">
        <v>9</v>
      </c>
      <c r="F333" s="129"/>
      <c r="G333" s="129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</row>
    <row r="334" spans="2:17" x14ac:dyDescent="0.2">
      <c r="E334" s="127">
        <v>9.5</v>
      </c>
      <c r="F334" s="16"/>
      <c r="G334" s="16"/>
      <c r="H334" s="16"/>
      <c r="I334" s="16"/>
      <c r="J334" s="72"/>
      <c r="K334" s="72"/>
      <c r="L334" s="72"/>
      <c r="M334" s="72"/>
      <c r="N334" s="72"/>
      <c r="O334" s="72"/>
      <c r="P334" s="72"/>
      <c r="Q334" s="72"/>
    </row>
    <row r="335" spans="2:17" x14ac:dyDescent="0.2">
      <c r="E335" s="127">
        <v>10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10.5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11</v>
      </c>
      <c r="F337" s="17"/>
      <c r="G337" s="17"/>
      <c r="H337" s="17"/>
      <c r="I337" s="17"/>
      <c r="J337" s="73"/>
      <c r="K337" s="73"/>
      <c r="L337" s="73"/>
      <c r="M337" s="73"/>
      <c r="N337" s="73"/>
      <c r="O337" s="73"/>
      <c r="P337" s="73"/>
      <c r="Q337" s="73"/>
    </row>
    <row r="340" spans="2:17" x14ac:dyDescent="0.2">
      <c r="B340" s="22" t="s">
        <v>180</v>
      </c>
      <c r="H340" s="25" t="s">
        <v>181</v>
      </c>
    </row>
    <row r="341" spans="2:17" x14ac:dyDescent="0.2">
      <c r="B341" s="8" t="s">
        <v>179</v>
      </c>
      <c r="H341" s="131"/>
    </row>
    <row r="343" spans="2:17" x14ac:dyDescent="0.2">
      <c r="E343" s="127">
        <f t="array" ref="E343:E351">$E$315:$E$323</f>
        <v>7</v>
      </c>
      <c r="F343" s="19"/>
      <c r="G343" s="19"/>
      <c r="H343" s="19"/>
      <c r="I343" s="19"/>
      <c r="J343" s="135"/>
      <c r="K343" s="135"/>
      <c r="L343" s="135"/>
      <c r="M343" s="135"/>
      <c r="N343" s="135"/>
      <c r="O343" s="135"/>
      <c r="P343" s="135"/>
      <c r="Q343" s="135"/>
    </row>
    <row r="344" spans="2:17" x14ac:dyDescent="0.2">
      <c r="E344" s="127">
        <v>7.5</v>
      </c>
      <c r="F344" s="16"/>
      <c r="G344" s="16"/>
      <c r="H344" s="16"/>
      <c r="I344" s="16"/>
      <c r="J344" s="132"/>
      <c r="K344" s="132"/>
      <c r="L344" s="132"/>
      <c r="M344" s="132"/>
      <c r="N344" s="132"/>
      <c r="O344" s="132"/>
      <c r="P344" s="132"/>
      <c r="Q344" s="132"/>
    </row>
    <row r="345" spans="2:17" x14ac:dyDescent="0.2">
      <c r="E345" s="127">
        <v>8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8.5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8">
        <v>9</v>
      </c>
      <c r="F347" s="129"/>
      <c r="G347" s="129"/>
      <c r="H347" s="129"/>
      <c r="I347" s="129"/>
      <c r="J347" s="133"/>
      <c r="K347" s="133"/>
      <c r="L347" s="133"/>
      <c r="M347" s="133"/>
      <c r="N347" s="133"/>
      <c r="O347" s="133"/>
      <c r="P347" s="133"/>
      <c r="Q347" s="133"/>
    </row>
    <row r="348" spans="2:17" x14ac:dyDescent="0.2">
      <c r="E348" s="127">
        <v>9.5</v>
      </c>
      <c r="F348" s="16"/>
      <c r="G348" s="16"/>
      <c r="H348" s="16"/>
      <c r="I348" s="16"/>
      <c r="J348" s="132"/>
      <c r="K348" s="132"/>
      <c r="L348" s="132"/>
      <c r="M348" s="132"/>
      <c r="N348" s="132"/>
      <c r="O348" s="132"/>
      <c r="P348" s="132"/>
      <c r="Q348" s="132"/>
    </row>
    <row r="349" spans="2:17" x14ac:dyDescent="0.2">
      <c r="E349" s="127">
        <v>10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10.5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11</v>
      </c>
      <c r="F351" s="17"/>
      <c r="G351" s="17"/>
      <c r="H351" s="17"/>
      <c r="I351" s="17"/>
      <c r="J351" s="134"/>
      <c r="K351" s="134"/>
      <c r="L351" s="134"/>
      <c r="M351" s="134"/>
      <c r="N351" s="134"/>
      <c r="O351" s="134"/>
      <c r="P351" s="134"/>
      <c r="Q351" s="134"/>
    </row>
    <row r="354" spans="2:17" x14ac:dyDescent="0.2">
      <c r="B354" s="22" t="s">
        <v>5</v>
      </c>
    </row>
    <row r="355" spans="2:17" x14ac:dyDescent="0.2">
      <c r="B355" s="8" t="s">
        <v>179</v>
      </c>
    </row>
    <row r="357" spans="2:17" x14ac:dyDescent="0.2">
      <c r="E357" s="127">
        <f t="array" ref="E357:E365">$E$315:$E$323</f>
        <v>7</v>
      </c>
      <c r="F357" s="19"/>
      <c r="G357" s="19"/>
      <c r="H357" s="19"/>
      <c r="I357" s="19"/>
      <c r="J357" s="61"/>
      <c r="K357" s="61"/>
      <c r="L357" s="61"/>
      <c r="M357" s="61"/>
      <c r="N357" s="61"/>
      <c r="O357" s="61"/>
      <c r="P357" s="61"/>
      <c r="Q357" s="61"/>
    </row>
    <row r="358" spans="2:17" x14ac:dyDescent="0.2">
      <c r="E358" s="127">
        <v>7.5</v>
      </c>
      <c r="F358" s="16"/>
      <c r="G358" s="16"/>
      <c r="H358" s="16"/>
      <c r="I358" s="16"/>
      <c r="J358" s="62"/>
      <c r="K358" s="62"/>
      <c r="L358" s="62"/>
      <c r="M358" s="62"/>
      <c r="N358" s="62"/>
      <c r="O358" s="62"/>
      <c r="P358" s="62"/>
      <c r="Q358" s="62"/>
    </row>
    <row r="359" spans="2:17" x14ac:dyDescent="0.2">
      <c r="E359" s="127">
        <v>8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8.5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8">
        <v>9</v>
      </c>
      <c r="F361" s="129"/>
      <c r="G361" s="129"/>
      <c r="H361" s="129"/>
      <c r="I361" s="129"/>
      <c r="J361" s="136"/>
      <c r="K361" s="136"/>
      <c r="L361" s="136"/>
      <c r="M361" s="136"/>
      <c r="N361" s="136"/>
      <c r="O361" s="136"/>
      <c r="P361" s="136"/>
      <c r="Q361" s="136"/>
    </row>
    <row r="362" spans="2:17" x14ac:dyDescent="0.2">
      <c r="E362" s="127">
        <v>9.5</v>
      </c>
      <c r="F362" s="16"/>
      <c r="G362" s="16"/>
      <c r="H362" s="16"/>
      <c r="I362" s="16"/>
      <c r="J362" s="62"/>
      <c r="K362" s="62"/>
      <c r="L362" s="62"/>
      <c r="M362" s="62"/>
      <c r="N362" s="62"/>
      <c r="O362" s="62"/>
      <c r="P362" s="62"/>
      <c r="Q362" s="62"/>
    </row>
    <row r="363" spans="2:17" x14ac:dyDescent="0.2">
      <c r="E363" s="127">
        <v>10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10.5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11</v>
      </c>
      <c r="F365" s="17"/>
      <c r="G365" s="17"/>
      <c r="H365" s="17"/>
      <c r="I365" s="17"/>
      <c r="J365" s="76"/>
      <c r="K365" s="76"/>
      <c r="L365" s="76"/>
      <c r="M365" s="76"/>
      <c r="N365" s="76"/>
      <c r="O365" s="76"/>
      <c r="P365" s="76"/>
      <c r="Q365" s="7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57C0-F941-4D39-AA2E-E053215E1C54}">
  <dimension ref="A1:X365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193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-H126+H124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H136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COUNTIF(H140:Q140,FALSE)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>J59+J55</f>
        <v>76.650000000000006</v>
      </c>
      <c r="K60" s="51">
        <f t="shared" ref="K60:Q60" si="12">K59+K55</f>
        <v>81.248999999999995</v>
      </c>
      <c r="L60" s="51">
        <f t="shared" si="12"/>
        <v>86.936430000000016</v>
      </c>
      <c r="M60" s="51">
        <f t="shared" si="12"/>
        <v>92.152615800000007</v>
      </c>
      <c r="N60" s="51">
        <f t="shared" si="12"/>
        <v>96.760246590000008</v>
      </c>
      <c r="O60" s="51">
        <f t="shared" si="12"/>
        <v>100.63065645360001</v>
      </c>
      <c r="P60" s="51">
        <f t="shared" si="12"/>
        <v>104.655882711744</v>
      </c>
      <c r="Q60" s="51">
        <f t="shared" si="12"/>
        <v>108.84211802021377</v>
      </c>
    </row>
    <row r="61" spans="2:17" x14ac:dyDescent="0.2">
      <c r="B61" s="20"/>
    </row>
    <row r="62" spans="2:17" x14ac:dyDescent="0.2">
      <c r="B62" s="20" t="s">
        <v>96</v>
      </c>
      <c r="J62" s="49">
        <f>-J60*$H$36</f>
        <v>-26.827500000000001</v>
      </c>
      <c r="K62" s="49">
        <f t="shared" ref="K62:Q62" si="13">-K60*$H$36</f>
        <v>-28.437149999999995</v>
      </c>
      <c r="L62" s="49">
        <f t="shared" si="13"/>
        <v>-30.427750500000002</v>
      </c>
      <c r="M62" s="49">
        <f t="shared" si="13"/>
        <v>-32.253415529999998</v>
      </c>
      <c r="N62" s="49">
        <f t="shared" si="13"/>
        <v>-33.866086306500002</v>
      </c>
      <c r="O62" s="49">
        <f t="shared" si="13"/>
        <v>-35.220729758760001</v>
      </c>
      <c r="P62" s="49">
        <f t="shared" si="13"/>
        <v>-36.629558949110397</v>
      </c>
      <c r="Q62" s="49">
        <f t="shared" si="13"/>
        <v>-38.09474130707482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>J62+J60</f>
        <v>49.822500000000005</v>
      </c>
      <c r="K63" s="51">
        <f t="shared" ref="K63:Q63" si="14">K62+K60</f>
        <v>52.81185</v>
      </c>
      <c r="L63" s="51">
        <f t="shared" si="14"/>
        <v>56.508679500000014</v>
      </c>
      <c r="M63" s="51">
        <f t="shared" si="14"/>
        <v>59.899200270000009</v>
      </c>
      <c r="N63" s="51">
        <f t="shared" si="14"/>
        <v>62.894160283500007</v>
      </c>
      <c r="O63" s="51">
        <f t="shared" si="14"/>
        <v>65.40992669484001</v>
      </c>
      <c r="P63" s="51">
        <f t="shared" si="14"/>
        <v>68.026323762633609</v>
      </c>
      <c r="Q63" s="51">
        <f t="shared" si="14"/>
        <v>70.747376713138948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15">IFERROR(J63/J$47,0)</f>
        <v>0.13874269005847953</v>
      </c>
      <c r="K64" s="59">
        <f t="shared" si="15"/>
        <v>0.13874269005847953</v>
      </c>
      <c r="L64" s="59">
        <f t="shared" si="15"/>
        <v>0.13874269005847956</v>
      </c>
      <c r="M64" s="59">
        <f t="shared" si="15"/>
        <v>0.13874269005847953</v>
      </c>
      <c r="N64" s="59">
        <f t="shared" si="15"/>
        <v>0.13874269005847953</v>
      </c>
      <c r="O64" s="59">
        <f t="shared" si="15"/>
        <v>0.13874269005847953</v>
      </c>
      <c r="P64" s="59">
        <f t="shared" si="15"/>
        <v>0.13874269005847953</v>
      </c>
      <c r="Q64" s="59">
        <f t="shared" si="15"/>
        <v>0.13874269005847953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16">IFERROR(J63/I63-1,0)</f>
        <v>0</v>
      </c>
      <c r="K65" s="57">
        <f t="shared" si="16"/>
        <v>5.9999999999999831E-2</v>
      </c>
      <c r="L65" s="57">
        <f t="shared" si="16"/>
        <v>7.0000000000000284E-2</v>
      </c>
      <c r="M65" s="57">
        <f t="shared" si="16"/>
        <v>5.9999999999999831E-2</v>
      </c>
      <c r="N65" s="57">
        <f t="shared" si="16"/>
        <v>5.0000000000000044E-2</v>
      </c>
      <c r="O65" s="57">
        <f t="shared" si="16"/>
        <v>4.0000000000000036E-2</v>
      </c>
      <c r="P65" s="57">
        <f t="shared" si="16"/>
        <v>4.0000000000000036E-2</v>
      </c>
      <c r="Q65" s="57">
        <f t="shared" si="16"/>
        <v>3.9999999999999813E-2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7">O69</f>
        <v>0.04</v>
      </c>
      <c r="Q69" s="61">
        <f t="shared" si="17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8">J70</f>
        <v>0.4</v>
      </c>
      <c r="L70" s="61">
        <f t="shared" si="18"/>
        <v>0.4</v>
      </c>
      <c r="M70" s="61">
        <f t="shared" si="18"/>
        <v>0.4</v>
      </c>
      <c r="N70" s="61">
        <f t="shared" si="18"/>
        <v>0.4</v>
      </c>
      <c r="O70" s="61">
        <f t="shared" si="18"/>
        <v>0.4</v>
      </c>
      <c r="P70" s="61">
        <f t="shared" si="18"/>
        <v>0.4</v>
      </c>
      <c r="Q70" s="61">
        <f t="shared" si="18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8"/>
        <v>0.26315789473684209</v>
      </c>
      <c r="L71" s="62">
        <f t="shared" si="18"/>
        <v>0.26315789473684209</v>
      </c>
      <c r="M71" s="62">
        <f t="shared" si="18"/>
        <v>0.26315789473684209</v>
      </c>
      <c r="N71" s="62">
        <f t="shared" si="18"/>
        <v>0.26315789473684209</v>
      </c>
      <c r="O71" s="62">
        <f t="shared" si="18"/>
        <v>0.26315789473684209</v>
      </c>
      <c r="P71" s="62">
        <f t="shared" si="18"/>
        <v>0.26315789473684209</v>
      </c>
      <c r="Q71" s="62">
        <f t="shared" si="18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8"/>
        <v>4.9707602339181284E-2</v>
      </c>
      <c r="L72" s="62">
        <f t="shared" si="18"/>
        <v>4.9707602339181284E-2</v>
      </c>
      <c r="M72" s="62">
        <f t="shared" si="18"/>
        <v>4.9707602339181284E-2</v>
      </c>
      <c r="N72" s="62">
        <f t="shared" si="18"/>
        <v>4.9707602339181284E-2</v>
      </c>
      <c r="O72" s="62">
        <f t="shared" si="18"/>
        <v>4.9707602339181284E-2</v>
      </c>
      <c r="P72" s="62">
        <f t="shared" si="18"/>
        <v>4.9707602339181284E-2</v>
      </c>
      <c r="Q72" s="62">
        <f t="shared" si="18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-H154/H47</f>
        <v>5.1999999999999991E-2</v>
      </c>
      <c r="I73" s="76">
        <f>-I154/I47</f>
        <v>4.9707602339181284E-2</v>
      </c>
      <c r="J73" s="76">
        <f>I73</f>
        <v>4.9707602339181284E-2</v>
      </c>
      <c r="K73" s="76">
        <f t="shared" si="18"/>
        <v>4.9707602339181284E-2</v>
      </c>
      <c r="L73" s="76">
        <f t="shared" si="18"/>
        <v>4.9707602339181284E-2</v>
      </c>
      <c r="M73" s="76">
        <f t="shared" si="18"/>
        <v>4.9707602339181284E-2</v>
      </c>
      <c r="N73" s="76">
        <f t="shared" si="18"/>
        <v>4.9707602339181284E-2</v>
      </c>
      <c r="O73" s="76">
        <f t="shared" si="18"/>
        <v>4.9707602339181284E-2</v>
      </c>
      <c r="P73" s="76">
        <f t="shared" si="18"/>
        <v>4.9707602339181284E-2</v>
      </c>
      <c r="Q73" s="76">
        <f t="shared" si="18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2" spans="2:17" x14ac:dyDescent="0.2">
      <c r="B82" s="22" t="s">
        <v>98</v>
      </c>
    </row>
    <row r="83" spans="2:17" x14ac:dyDescent="0.2">
      <c r="B83" s="19" t="s">
        <v>139</v>
      </c>
      <c r="C83" s="19"/>
      <c r="D83" s="19"/>
      <c r="E83" s="19"/>
      <c r="F83" s="19"/>
      <c r="G83" s="19"/>
      <c r="H83" s="82"/>
      <c r="I83" s="82">
        <f t="shared" ref="I83:Q83" si="19">I47</f>
        <v>342</v>
      </c>
      <c r="J83" s="82">
        <f t="shared" si="19"/>
        <v>359.1</v>
      </c>
      <c r="K83" s="82">
        <f t="shared" si="19"/>
        <v>380.64600000000002</v>
      </c>
      <c r="L83" s="82">
        <f t="shared" si="19"/>
        <v>407.29122000000007</v>
      </c>
      <c r="M83" s="82">
        <f t="shared" si="19"/>
        <v>431.72869320000007</v>
      </c>
      <c r="N83" s="82">
        <f t="shared" si="19"/>
        <v>453.31512786000008</v>
      </c>
      <c r="O83" s="82">
        <f t="shared" si="19"/>
        <v>471.44773297440008</v>
      </c>
      <c r="P83" s="82">
        <f t="shared" si="19"/>
        <v>490.30564229337608</v>
      </c>
      <c r="Q83" s="82">
        <f t="shared" si="19"/>
        <v>509.91786798511112</v>
      </c>
    </row>
    <row r="84" spans="2:17" x14ac:dyDescent="0.2">
      <c r="B84" s="17" t="s">
        <v>140</v>
      </c>
      <c r="C84" s="17"/>
      <c r="D84" s="17"/>
      <c r="E84" s="17"/>
      <c r="F84" s="17"/>
      <c r="G84" s="17"/>
      <c r="H84" s="87"/>
      <c r="I84" s="87">
        <f t="shared" ref="I84:Q84" si="20">I83*I70</f>
        <v>136.80000000000001</v>
      </c>
      <c r="J84" s="87">
        <f t="shared" si="20"/>
        <v>143.64000000000001</v>
      </c>
      <c r="K84" s="87">
        <f t="shared" si="20"/>
        <v>152.25840000000002</v>
      </c>
      <c r="L84" s="87">
        <f t="shared" si="20"/>
        <v>162.91648800000004</v>
      </c>
      <c r="M84" s="87">
        <f t="shared" si="20"/>
        <v>172.69147728000004</v>
      </c>
      <c r="N84" s="87">
        <f t="shared" si="20"/>
        <v>181.32605114400005</v>
      </c>
      <c r="O84" s="87">
        <f t="shared" si="20"/>
        <v>188.57909318976004</v>
      </c>
      <c r="P84" s="87">
        <f t="shared" si="20"/>
        <v>196.12225691735046</v>
      </c>
      <c r="Q84" s="87">
        <f t="shared" si="20"/>
        <v>203.96714719404446</v>
      </c>
    </row>
    <row r="85" spans="2:17" x14ac:dyDescent="0.2">
      <c r="B85" s="22"/>
      <c r="F85" s="96" t="s">
        <v>165</v>
      </c>
      <c r="H85" s="63"/>
    </row>
    <row r="86" spans="2:17" x14ac:dyDescent="0.2">
      <c r="B86" s="22" t="s">
        <v>142</v>
      </c>
      <c r="F86" s="97">
        <v>360</v>
      </c>
    </row>
    <row r="87" spans="2:17" x14ac:dyDescent="0.2">
      <c r="B87" s="19" t="s">
        <v>114</v>
      </c>
      <c r="C87" s="19"/>
      <c r="D87" s="19"/>
      <c r="E87" s="19"/>
      <c r="F87" s="19"/>
      <c r="G87" s="19"/>
      <c r="H87" s="19"/>
      <c r="I87" s="92">
        <f>I97/I83*F86</f>
        <v>94.73684210526315</v>
      </c>
      <c r="J87" s="92">
        <f>I87</f>
        <v>94.73684210526315</v>
      </c>
      <c r="K87" s="92">
        <f t="shared" ref="K87:Q87" si="21">J87</f>
        <v>94.73684210526315</v>
      </c>
      <c r="L87" s="92">
        <f t="shared" si="21"/>
        <v>94.73684210526315</v>
      </c>
      <c r="M87" s="92">
        <f t="shared" si="21"/>
        <v>94.73684210526315</v>
      </c>
      <c r="N87" s="92">
        <f t="shared" si="21"/>
        <v>94.73684210526315</v>
      </c>
      <c r="O87" s="92">
        <f t="shared" si="21"/>
        <v>94.73684210526315</v>
      </c>
      <c r="P87" s="92">
        <f t="shared" si="21"/>
        <v>94.73684210526315</v>
      </c>
      <c r="Q87" s="92">
        <f t="shared" si="21"/>
        <v>94.73684210526315</v>
      </c>
    </row>
    <row r="88" spans="2:17" x14ac:dyDescent="0.2">
      <c r="B88" s="16" t="s">
        <v>115</v>
      </c>
      <c r="C88" s="16"/>
      <c r="D88" s="16"/>
      <c r="E88" s="16"/>
      <c r="F88" s="16"/>
      <c r="G88" s="16"/>
      <c r="H88" s="16"/>
      <c r="I88" s="93">
        <f>I98/I84*F86</f>
        <v>118.42105263157893</v>
      </c>
      <c r="J88" s="93">
        <f t="shared" ref="J88:Q88" si="22">I88</f>
        <v>118.42105263157893</v>
      </c>
      <c r="K88" s="93">
        <f t="shared" si="22"/>
        <v>118.42105263157893</v>
      </c>
      <c r="L88" s="93">
        <f t="shared" si="22"/>
        <v>118.42105263157893</v>
      </c>
      <c r="M88" s="93">
        <f t="shared" si="22"/>
        <v>118.42105263157893</v>
      </c>
      <c r="N88" s="93">
        <f t="shared" si="22"/>
        <v>118.42105263157893</v>
      </c>
      <c r="O88" s="93">
        <f t="shared" si="22"/>
        <v>118.42105263157893</v>
      </c>
      <c r="P88" s="93">
        <f t="shared" si="22"/>
        <v>118.42105263157893</v>
      </c>
      <c r="Q88" s="93">
        <f t="shared" si="22"/>
        <v>118.42105263157893</v>
      </c>
    </row>
    <row r="89" spans="2:17" x14ac:dyDescent="0.2">
      <c r="B89" s="17" t="s">
        <v>116</v>
      </c>
      <c r="C89" s="17"/>
      <c r="D89" s="17"/>
      <c r="E89" s="17"/>
      <c r="F89" s="17"/>
      <c r="G89" s="17"/>
      <c r="H89" s="17"/>
      <c r="I89" s="94">
        <f>I102/I84*F86</f>
        <v>115.78947368421052</v>
      </c>
      <c r="J89" s="94">
        <f t="shared" ref="J89:Q89" si="23">I89</f>
        <v>115.78947368421052</v>
      </c>
      <c r="K89" s="94">
        <f t="shared" si="23"/>
        <v>115.78947368421052</v>
      </c>
      <c r="L89" s="94">
        <f t="shared" si="23"/>
        <v>115.78947368421052</v>
      </c>
      <c r="M89" s="94">
        <f t="shared" si="23"/>
        <v>115.78947368421052</v>
      </c>
      <c r="N89" s="94">
        <f t="shared" si="23"/>
        <v>115.78947368421052</v>
      </c>
      <c r="O89" s="94">
        <f t="shared" si="23"/>
        <v>115.78947368421052</v>
      </c>
      <c r="P89" s="94">
        <f t="shared" si="23"/>
        <v>115.78947368421052</v>
      </c>
      <c r="Q89" s="94">
        <f t="shared" si="23"/>
        <v>115.78947368421052</v>
      </c>
    </row>
    <row r="90" spans="2:17" s="18" customFormat="1" x14ac:dyDescent="0.2">
      <c r="B90" s="66" t="s">
        <v>117</v>
      </c>
      <c r="C90" s="66"/>
      <c r="D90" s="66"/>
      <c r="E90" s="66"/>
      <c r="F90" s="66"/>
      <c r="G90" s="66"/>
      <c r="H90" s="66"/>
      <c r="I90" s="95">
        <f>I87+I88-I89</f>
        <v>97.368421052631561</v>
      </c>
      <c r="J90" s="95">
        <f t="shared" ref="J90:Q90" si="24">J87+J88-J89</f>
        <v>97.368421052631561</v>
      </c>
      <c r="K90" s="95">
        <f t="shared" si="24"/>
        <v>97.368421052631561</v>
      </c>
      <c r="L90" s="95">
        <f t="shared" si="24"/>
        <v>97.368421052631561</v>
      </c>
      <c r="M90" s="95">
        <f t="shared" si="24"/>
        <v>97.368421052631561</v>
      </c>
      <c r="N90" s="95">
        <f t="shared" si="24"/>
        <v>97.368421052631561</v>
      </c>
      <c r="O90" s="95">
        <f t="shared" si="24"/>
        <v>97.368421052631561</v>
      </c>
      <c r="P90" s="95">
        <f t="shared" si="24"/>
        <v>97.368421052631561</v>
      </c>
      <c r="Q90" s="95">
        <f t="shared" si="24"/>
        <v>97.368421052631561</v>
      </c>
    </row>
    <row r="92" spans="2:17" x14ac:dyDescent="0.2">
      <c r="B92" s="19" t="s">
        <v>118</v>
      </c>
      <c r="C92" s="19"/>
      <c r="D92" s="19"/>
      <c r="E92" s="19"/>
      <c r="F92" s="19"/>
      <c r="G92" s="19"/>
      <c r="H92" s="19"/>
      <c r="I92" s="61">
        <f>I99/I83</f>
        <v>2.046783625730994E-2</v>
      </c>
      <c r="J92" s="61">
        <f>I92</f>
        <v>2.046783625730994E-2</v>
      </c>
      <c r="K92" s="61">
        <f t="shared" ref="K92:Q92" si="25">J92</f>
        <v>2.046783625730994E-2</v>
      </c>
      <c r="L92" s="61">
        <f t="shared" si="25"/>
        <v>2.046783625730994E-2</v>
      </c>
      <c r="M92" s="61">
        <f t="shared" si="25"/>
        <v>2.046783625730994E-2</v>
      </c>
      <c r="N92" s="61">
        <f t="shared" si="25"/>
        <v>2.046783625730994E-2</v>
      </c>
      <c r="O92" s="61">
        <f t="shared" si="25"/>
        <v>2.046783625730994E-2</v>
      </c>
      <c r="P92" s="61">
        <f t="shared" si="25"/>
        <v>2.046783625730994E-2</v>
      </c>
      <c r="Q92" s="61">
        <f t="shared" si="25"/>
        <v>2.046783625730994E-2</v>
      </c>
    </row>
    <row r="93" spans="2:17" x14ac:dyDescent="0.2">
      <c r="B93" s="16" t="s">
        <v>119</v>
      </c>
      <c r="C93" s="16"/>
      <c r="D93" s="16"/>
      <c r="E93" s="16"/>
      <c r="F93" s="16"/>
      <c r="G93" s="16"/>
      <c r="H93" s="16"/>
      <c r="I93" s="62">
        <f>I103/I$83</f>
        <v>0.10818713450292397</v>
      </c>
      <c r="J93" s="62">
        <f t="shared" ref="J93:Q93" si="26">I93</f>
        <v>0.10818713450292397</v>
      </c>
      <c r="K93" s="62">
        <f t="shared" si="26"/>
        <v>0.10818713450292397</v>
      </c>
      <c r="L93" s="62">
        <f t="shared" si="26"/>
        <v>0.10818713450292397</v>
      </c>
      <c r="M93" s="62">
        <f t="shared" si="26"/>
        <v>0.10818713450292397</v>
      </c>
      <c r="N93" s="62">
        <f t="shared" si="26"/>
        <v>0.10818713450292397</v>
      </c>
      <c r="O93" s="62">
        <f t="shared" si="26"/>
        <v>0.10818713450292397</v>
      </c>
      <c r="P93" s="62">
        <f t="shared" si="26"/>
        <v>0.10818713450292397</v>
      </c>
      <c r="Q93" s="62">
        <f t="shared" si="26"/>
        <v>0.10818713450292397</v>
      </c>
    </row>
    <row r="94" spans="2:17" x14ac:dyDescent="0.2">
      <c r="B94" s="17" t="s">
        <v>120</v>
      </c>
      <c r="C94" s="17"/>
      <c r="D94" s="17"/>
      <c r="E94" s="17"/>
      <c r="F94" s="17"/>
      <c r="G94" s="17"/>
      <c r="H94" s="17"/>
      <c r="I94" s="76">
        <f>I104/I$83</f>
        <v>8.771929824561403E-3</v>
      </c>
      <c r="J94" s="76">
        <f t="shared" ref="J94:Q94" si="27">I94</f>
        <v>8.771929824561403E-3</v>
      </c>
      <c r="K94" s="76">
        <f t="shared" si="27"/>
        <v>8.771929824561403E-3</v>
      </c>
      <c r="L94" s="76">
        <f t="shared" si="27"/>
        <v>8.771929824561403E-3</v>
      </c>
      <c r="M94" s="76">
        <f t="shared" si="27"/>
        <v>8.771929824561403E-3</v>
      </c>
      <c r="N94" s="76">
        <f t="shared" si="27"/>
        <v>8.771929824561403E-3</v>
      </c>
      <c r="O94" s="76">
        <f t="shared" si="27"/>
        <v>8.771929824561403E-3</v>
      </c>
      <c r="P94" s="76">
        <f t="shared" si="27"/>
        <v>8.771929824561403E-3</v>
      </c>
      <c r="Q94" s="76">
        <f t="shared" si="27"/>
        <v>8.771929824561403E-3</v>
      </c>
    </row>
    <row r="95" spans="2:17" ht="6" customHeight="1" x14ac:dyDescent="0.2"/>
    <row r="96" spans="2:17" x14ac:dyDescent="0.2">
      <c r="B96" s="22" t="s">
        <v>141</v>
      </c>
    </row>
    <row r="97" spans="1:24" x14ac:dyDescent="0.2">
      <c r="B97" s="19" t="s">
        <v>106</v>
      </c>
      <c r="C97" s="19"/>
      <c r="D97" s="19"/>
      <c r="E97" s="19"/>
      <c r="F97" s="19"/>
      <c r="G97" s="19"/>
      <c r="H97" s="19"/>
      <c r="I97" s="82">
        <f>H119</f>
        <v>90</v>
      </c>
      <c r="J97" s="82">
        <f>J87/$F$86*J83</f>
        <v>94.5</v>
      </c>
      <c r="K97" s="82">
        <f t="shared" ref="K97:Q97" si="28">K87/$F$86*K83</f>
        <v>100.17</v>
      </c>
      <c r="L97" s="82">
        <f t="shared" si="28"/>
        <v>107.18190000000001</v>
      </c>
      <c r="M97" s="82">
        <f t="shared" si="28"/>
        <v>113.61281400000001</v>
      </c>
      <c r="N97" s="82">
        <f t="shared" si="28"/>
        <v>119.29345470000001</v>
      </c>
      <c r="O97" s="82">
        <f t="shared" si="28"/>
        <v>124.06519288800001</v>
      </c>
      <c r="P97" s="82">
        <f t="shared" si="28"/>
        <v>129.02780060352001</v>
      </c>
      <c r="Q97" s="82">
        <f t="shared" si="28"/>
        <v>134.18891262766081</v>
      </c>
    </row>
    <row r="98" spans="1:24" x14ac:dyDescent="0.2">
      <c r="B98" s="16" t="s">
        <v>6</v>
      </c>
      <c r="C98" s="16"/>
      <c r="D98" s="16"/>
      <c r="E98" s="16"/>
      <c r="F98" s="16"/>
      <c r="G98" s="16"/>
      <c r="H98" s="16"/>
      <c r="I98" s="72">
        <f t="shared" ref="I98:I99" si="29">H120</f>
        <v>45</v>
      </c>
      <c r="J98" s="72">
        <f>J88/$F$86*J84</f>
        <v>47.25</v>
      </c>
      <c r="K98" s="72">
        <f t="shared" ref="K98:Q98" si="30">K88/$F$86*K84</f>
        <v>50.085000000000001</v>
      </c>
      <c r="L98" s="72">
        <f t="shared" si="30"/>
        <v>53.590950000000007</v>
      </c>
      <c r="M98" s="72">
        <f t="shared" si="30"/>
        <v>56.806407000000007</v>
      </c>
      <c r="N98" s="72">
        <f t="shared" si="30"/>
        <v>59.646727350000006</v>
      </c>
      <c r="O98" s="72">
        <f t="shared" si="30"/>
        <v>62.032596444000006</v>
      </c>
      <c r="P98" s="72">
        <f t="shared" si="30"/>
        <v>64.513900301760017</v>
      </c>
      <c r="Q98" s="72">
        <f t="shared" si="30"/>
        <v>67.094456313830406</v>
      </c>
    </row>
    <row r="99" spans="1:24" x14ac:dyDescent="0.2">
      <c r="B99" s="17" t="s">
        <v>7</v>
      </c>
      <c r="C99" s="17"/>
      <c r="D99" s="17"/>
      <c r="E99" s="17"/>
      <c r="F99" s="17"/>
      <c r="G99" s="17"/>
      <c r="H99" s="17"/>
      <c r="I99" s="73">
        <f t="shared" si="29"/>
        <v>7</v>
      </c>
      <c r="J99" s="73">
        <f>J92*J83</f>
        <v>7.35</v>
      </c>
      <c r="K99" s="73">
        <f t="shared" ref="K99:Q99" si="31">K92*K83</f>
        <v>7.7909999999999995</v>
      </c>
      <c r="L99" s="73">
        <f t="shared" si="31"/>
        <v>8.3363700000000005</v>
      </c>
      <c r="M99" s="73">
        <f t="shared" si="31"/>
        <v>8.8365522000000016</v>
      </c>
      <c r="N99" s="73">
        <f t="shared" si="31"/>
        <v>9.2783798100000006</v>
      </c>
      <c r="O99" s="73">
        <f t="shared" si="31"/>
        <v>9.6495150024000012</v>
      </c>
      <c r="P99" s="73">
        <f t="shared" si="31"/>
        <v>10.035495602496001</v>
      </c>
      <c r="Q99" s="73">
        <f t="shared" si="31"/>
        <v>10.43691542659584</v>
      </c>
    </row>
    <row r="100" spans="1:24" s="18" customFormat="1" x14ac:dyDescent="0.2">
      <c r="B100" s="9" t="s">
        <v>122</v>
      </c>
      <c r="C100" s="9"/>
      <c r="D100" s="9"/>
      <c r="E100" s="9"/>
      <c r="F100" s="9"/>
      <c r="G100" s="9"/>
      <c r="H100" s="9"/>
      <c r="I100" s="51">
        <f>SUM(I97:I99)</f>
        <v>142</v>
      </c>
      <c r="J100" s="51">
        <f>SUM(J97:J99)</f>
        <v>149.1</v>
      </c>
      <c r="K100" s="51">
        <f t="shared" ref="K100:Q100" si="32">SUM(K97:K99)</f>
        <v>158.04599999999999</v>
      </c>
      <c r="L100" s="51">
        <f t="shared" si="32"/>
        <v>169.10921999999999</v>
      </c>
      <c r="M100" s="51">
        <f t="shared" si="32"/>
        <v>179.25577320000002</v>
      </c>
      <c r="N100" s="51">
        <f t="shared" si="32"/>
        <v>188.21856186000002</v>
      </c>
      <c r="O100" s="51">
        <f t="shared" si="32"/>
        <v>195.74730433440001</v>
      </c>
      <c r="P100" s="51">
        <f t="shared" si="32"/>
        <v>203.57719650777605</v>
      </c>
      <c r="Q100" s="51">
        <f t="shared" si="32"/>
        <v>211.72028436808708</v>
      </c>
    </row>
    <row r="101" spans="1:24" ht="6" customHeight="1" x14ac:dyDescent="0.2"/>
    <row r="102" spans="1:24" x14ac:dyDescent="0.2">
      <c r="B102" s="19" t="s">
        <v>8</v>
      </c>
      <c r="C102" s="19"/>
      <c r="D102" s="19"/>
      <c r="E102" s="19"/>
      <c r="F102" s="19"/>
      <c r="G102" s="19"/>
      <c r="H102" s="19"/>
      <c r="I102" s="82">
        <f>H129</f>
        <v>44</v>
      </c>
      <c r="J102" s="82">
        <f>J89/$F$86*J84</f>
        <v>46.2</v>
      </c>
      <c r="K102" s="82">
        <f t="shared" ref="K102:Q102" si="33">K89/$F$86*K84</f>
        <v>48.972000000000001</v>
      </c>
      <c r="L102" s="82">
        <f t="shared" si="33"/>
        <v>52.400040000000011</v>
      </c>
      <c r="M102" s="82">
        <f t="shared" si="33"/>
        <v>55.544042400000009</v>
      </c>
      <c r="N102" s="82">
        <f t="shared" si="33"/>
        <v>58.321244520000015</v>
      </c>
      <c r="O102" s="82">
        <f t="shared" si="33"/>
        <v>60.654094300800011</v>
      </c>
      <c r="P102" s="82">
        <f t="shared" si="33"/>
        <v>63.080258072832017</v>
      </c>
      <c r="Q102" s="82">
        <f t="shared" si="33"/>
        <v>65.603468395745296</v>
      </c>
    </row>
    <row r="103" spans="1:24" x14ac:dyDescent="0.2">
      <c r="B103" s="16" t="s">
        <v>108</v>
      </c>
      <c r="C103" s="16"/>
      <c r="D103" s="16"/>
      <c r="E103" s="16"/>
      <c r="F103" s="16"/>
      <c r="G103" s="16"/>
      <c r="H103" s="16"/>
      <c r="I103" s="72">
        <f t="shared" ref="I103:I104" si="34">H130</f>
        <v>37</v>
      </c>
      <c r="J103" s="72">
        <f>J93*J$83</f>
        <v>38.85</v>
      </c>
      <c r="K103" s="72">
        <f t="shared" ref="K103:Q103" si="35">K93*K$83</f>
        <v>41.180999999999997</v>
      </c>
      <c r="L103" s="72">
        <f t="shared" si="35"/>
        <v>44.063670000000002</v>
      </c>
      <c r="M103" s="72">
        <f t="shared" si="35"/>
        <v>46.707490200000002</v>
      </c>
      <c r="N103" s="72">
        <f t="shared" si="35"/>
        <v>49.042864710000003</v>
      </c>
      <c r="O103" s="72">
        <f t="shared" si="35"/>
        <v>51.004579298400003</v>
      </c>
      <c r="P103" s="72">
        <f t="shared" si="35"/>
        <v>53.044762470336003</v>
      </c>
      <c r="Q103" s="72">
        <f t="shared" si="35"/>
        <v>55.166552969149443</v>
      </c>
    </row>
    <row r="104" spans="1:24" x14ac:dyDescent="0.2">
      <c r="B104" s="17" t="s">
        <v>121</v>
      </c>
      <c r="C104" s="17"/>
      <c r="D104" s="17"/>
      <c r="E104" s="17"/>
      <c r="F104" s="17"/>
      <c r="G104" s="17"/>
      <c r="H104" s="17"/>
      <c r="I104" s="73">
        <f t="shared" si="34"/>
        <v>3</v>
      </c>
      <c r="J104" s="73">
        <f t="shared" ref="J104:Q104" si="36">J94*J$83</f>
        <v>3.15</v>
      </c>
      <c r="K104" s="73">
        <f t="shared" si="36"/>
        <v>3.339</v>
      </c>
      <c r="L104" s="73">
        <f t="shared" si="36"/>
        <v>3.5727300000000004</v>
      </c>
      <c r="M104" s="73">
        <f t="shared" si="36"/>
        <v>3.7870938000000005</v>
      </c>
      <c r="N104" s="73">
        <f t="shared" si="36"/>
        <v>3.9764484900000006</v>
      </c>
      <c r="O104" s="73">
        <f t="shared" si="36"/>
        <v>4.1355064296000004</v>
      </c>
      <c r="P104" s="73">
        <f t="shared" si="36"/>
        <v>4.3009266867840008</v>
      </c>
      <c r="Q104" s="73">
        <f t="shared" si="36"/>
        <v>4.4729637542553604</v>
      </c>
    </row>
    <row r="105" spans="1:24" s="18" customFormat="1" x14ac:dyDescent="0.2">
      <c r="B105" s="9" t="s">
        <v>123</v>
      </c>
      <c r="C105" s="9"/>
      <c r="D105" s="9"/>
      <c r="E105" s="9"/>
      <c r="F105" s="9"/>
      <c r="G105" s="9"/>
      <c r="H105" s="9"/>
      <c r="I105" s="51">
        <f>SUM(I102:I104)</f>
        <v>84</v>
      </c>
      <c r="J105" s="51">
        <f>SUM(J102:J104)</f>
        <v>88.200000000000017</v>
      </c>
      <c r="K105" s="51">
        <f t="shared" ref="K105:Q105" si="37">SUM(K102:K104)</f>
        <v>93.49199999999999</v>
      </c>
      <c r="L105" s="51">
        <f t="shared" si="37"/>
        <v>100.03644000000003</v>
      </c>
      <c r="M105" s="51">
        <f t="shared" si="37"/>
        <v>106.03862640000001</v>
      </c>
      <c r="N105" s="51">
        <f t="shared" si="37"/>
        <v>111.34055772000002</v>
      </c>
      <c r="O105" s="51">
        <f t="shared" si="37"/>
        <v>115.79418002880001</v>
      </c>
      <c r="P105" s="51">
        <f t="shared" si="37"/>
        <v>120.42594722995202</v>
      </c>
      <c r="Q105" s="51">
        <f t="shared" si="37"/>
        <v>125.24298511915011</v>
      </c>
    </row>
    <row r="106" spans="1:24" ht="6" customHeight="1" x14ac:dyDescent="0.2"/>
    <row r="107" spans="1:24" s="18" customFormat="1" x14ac:dyDescent="0.2">
      <c r="B107" s="9" t="s">
        <v>125</v>
      </c>
      <c r="C107" s="9"/>
      <c r="D107" s="9"/>
      <c r="E107" s="9"/>
      <c r="F107" s="9"/>
      <c r="G107" s="9"/>
      <c r="H107" s="9"/>
      <c r="I107" s="51">
        <f>I100-I105</f>
        <v>58</v>
      </c>
      <c r="J107" s="51">
        <f t="shared" ref="J107:Q107" si="38">J100-J105</f>
        <v>60.899999999999977</v>
      </c>
      <c r="K107" s="51">
        <f t="shared" si="38"/>
        <v>64.554000000000002</v>
      </c>
      <c r="L107" s="51">
        <f t="shared" si="38"/>
        <v>69.072779999999966</v>
      </c>
      <c r="M107" s="51">
        <f t="shared" si="38"/>
        <v>73.217146800000009</v>
      </c>
      <c r="N107" s="51">
        <f t="shared" si="38"/>
        <v>76.878004140000002</v>
      </c>
      <c r="O107" s="51">
        <f t="shared" si="38"/>
        <v>79.953124305599999</v>
      </c>
      <c r="P107" s="51">
        <f t="shared" si="38"/>
        <v>83.151249277824036</v>
      </c>
      <c r="Q107" s="51">
        <f t="shared" si="38"/>
        <v>86.477299248936973</v>
      </c>
    </row>
    <row r="108" spans="1:24" x14ac:dyDescent="0.2">
      <c r="C108" s="3" t="s">
        <v>124</v>
      </c>
      <c r="J108" s="49">
        <f>I107-J107</f>
        <v>-2.8999999999999773</v>
      </c>
      <c r="K108" s="49">
        <f t="shared" ref="K108:Q108" si="39">J107-K107</f>
        <v>-3.6540000000000248</v>
      </c>
      <c r="L108" s="49">
        <f t="shared" si="39"/>
        <v>-4.518779999999964</v>
      </c>
      <c r="M108" s="49">
        <f t="shared" si="39"/>
        <v>-4.1443668000000429</v>
      </c>
      <c r="N108" s="49">
        <f t="shared" si="39"/>
        <v>-3.6608573399999926</v>
      </c>
      <c r="O108" s="49">
        <f t="shared" si="39"/>
        <v>-3.0751201655999978</v>
      </c>
      <c r="P108" s="49">
        <f t="shared" si="39"/>
        <v>-3.1981249722240364</v>
      </c>
      <c r="Q108" s="49">
        <f t="shared" si="39"/>
        <v>-3.326049971112937</v>
      </c>
    </row>
    <row r="112" spans="1:24" x14ac:dyDescent="0.2">
      <c r="A112" s="5" t="s">
        <v>35</v>
      </c>
      <c r="B112" s="6" t="s">
        <v>85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2:17" x14ac:dyDescent="0.2">
      <c r="B113" s="8" t="s">
        <v>37</v>
      </c>
    </row>
    <row r="115" spans="2:17" x14ac:dyDescent="0.2">
      <c r="B115" s="8" t="s">
        <v>88</v>
      </c>
      <c r="H115" s="53">
        <v>42735</v>
      </c>
      <c r="I115" s="140">
        <v>42735</v>
      </c>
      <c r="J115" s="54">
        <v>43100</v>
      </c>
      <c r="K115" s="54">
        <v>43465</v>
      </c>
      <c r="L115" s="54">
        <v>43830</v>
      </c>
      <c r="M115" s="54">
        <v>44196</v>
      </c>
      <c r="N115" s="54">
        <v>44561</v>
      </c>
      <c r="O115" s="54">
        <v>44926</v>
      </c>
      <c r="P115" s="54">
        <v>45291</v>
      </c>
      <c r="Q115" s="54">
        <v>45657</v>
      </c>
    </row>
    <row r="116" spans="2:17" ht="3" customHeight="1" x14ac:dyDescent="0.2"/>
    <row r="117" spans="2:17" x14ac:dyDescent="0.2">
      <c r="B117" s="22" t="s">
        <v>103</v>
      </c>
    </row>
    <row r="118" spans="2:17" x14ac:dyDescent="0.2">
      <c r="B118" s="19" t="s">
        <v>3</v>
      </c>
      <c r="C118" s="19"/>
      <c r="D118" s="19"/>
      <c r="E118" s="19"/>
      <c r="F118" s="19"/>
      <c r="G118" s="19"/>
      <c r="H118" s="88">
        <v>5</v>
      </c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16" t="s">
        <v>106</v>
      </c>
      <c r="C119" s="16"/>
      <c r="D119" s="16"/>
      <c r="E119" s="16"/>
      <c r="F119" s="16"/>
      <c r="G119" s="16"/>
      <c r="H119" s="74">
        <f>90</f>
        <v>90</v>
      </c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2:17" x14ac:dyDescent="0.2">
      <c r="B120" s="16" t="s">
        <v>6</v>
      </c>
      <c r="C120" s="16"/>
      <c r="D120" s="16"/>
      <c r="E120" s="16"/>
      <c r="F120" s="16"/>
      <c r="G120" s="16"/>
      <c r="H120" s="74">
        <v>45</v>
      </c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2:17" x14ac:dyDescent="0.2">
      <c r="B121" s="17" t="s">
        <v>7</v>
      </c>
      <c r="C121" s="17"/>
      <c r="D121" s="17"/>
      <c r="E121" s="17"/>
      <c r="F121" s="17"/>
      <c r="G121" s="17"/>
      <c r="H121" s="89">
        <v>7</v>
      </c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s="18" customFormat="1" x14ac:dyDescent="0.2">
      <c r="B122" s="9" t="s">
        <v>204</v>
      </c>
      <c r="C122" s="9"/>
      <c r="D122" s="9"/>
      <c r="E122" s="9"/>
      <c r="F122" s="9"/>
      <c r="G122" s="9"/>
      <c r="H122" s="51">
        <f>SUM(H118:H121)</f>
        <v>147</v>
      </c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2:17" x14ac:dyDescent="0.2">
      <c r="B123" s="19" t="s">
        <v>204</v>
      </c>
      <c r="C123" s="19"/>
      <c r="D123" s="19"/>
      <c r="E123" s="19"/>
      <c r="F123" s="19"/>
      <c r="G123" s="19"/>
      <c r="H123" s="74">
        <v>78</v>
      </c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2:17" x14ac:dyDescent="0.2">
      <c r="B124" s="16" t="s">
        <v>22</v>
      </c>
      <c r="C124" s="16"/>
      <c r="D124" s="16"/>
      <c r="E124" s="16"/>
      <c r="F124" s="16"/>
      <c r="G124" s="16"/>
      <c r="H124" s="74">
        <v>20</v>
      </c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2:17" x14ac:dyDescent="0.2">
      <c r="B125" s="17" t="s">
        <v>105</v>
      </c>
      <c r="C125" s="17"/>
      <c r="D125" s="17"/>
      <c r="E125" s="17"/>
      <c r="F125" s="17"/>
      <c r="G125" s="17"/>
      <c r="H125" s="89">
        <v>6</v>
      </c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s="18" customFormat="1" x14ac:dyDescent="0.2">
      <c r="B126" s="9" t="s">
        <v>4</v>
      </c>
      <c r="C126" s="9"/>
      <c r="D126" s="9"/>
      <c r="E126" s="9"/>
      <c r="F126" s="9"/>
      <c r="G126" s="9"/>
      <c r="H126" s="51">
        <f>SUM(H122:H125)</f>
        <v>251</v>
      </c>
      <c r="I126" s="51"/>
      <c r="J126" s="51"/>
      <c r="K126" s="51"/>
      <c r="L126" s="51"/>
      <c r="M126" s="51"/>
      <c r="N126" s="51"/>
      <c r="O126" s="51"/>
      <c r="P126" s="51"/>
      <c r="Q126" s="51"/>
    </row>
    <row r="128" spans="2:17" x14ac:dyDescent="0.2">
      <c r="B128" s="22" t="s">
        <v>107</v>
      </c>
    </row>
    <row r="129" spans="1:24" x14ac:dyDescent="0.2">
      <c r="B129" s="19" t="s">
        <v>8</v>
      </c>
      <c r="C129" s="19"/>
      <c r="D129" s="19"/>
      <c r="E129" s="19"/>
      <c r="F129" s="19"/>
      <c r="G129" s="19"/>
      <c r="H129" s="88">
        <v>44</v>
      </c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1:24" x14ac:dyDescent="0.2">
      <c r="B130" s="16" t="s">
        <v>108</v>
      </c>
      <c r="C130" s="16"/>
      <c r="D130" s="16"/>
      <c r="E130" s="16"/>
      <c r="F130" s="16"/>
      <c r="G130" s="16"/>
      <c r="H130" s="74">
        <v>37</v>
      </c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1:24" x14ac:dyDescent="0.2">
      <c r="B131" s="17" t="s">
        <v>9</v>
      </c>
      <c r="C131" s="17"/>
      <c r="D131" s="17"/>
      <c r="E131" s="17"/>
      <c r="F131" s="17"/>
      <c r="G131" s="17"/>
      <c r="H131" s="89">
        <v>3</v>
      </c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1:24" s="18" customFormat="1" x14ac:dyDescent="0.2">
      <c r="B132" s="9" t="s">
        <v>109</v>
      </c>
      <c r="C132" s="9"/>
      <c r="D132" s="9"/>
      <c r="E132" s="9"/>
      <c r="F132" s="9"/>
      <c r="G132" s="9"/>
      <c r="H132" s="51">
        <f>SUM(H129:H131)</f>
        <v>84</v>
      </c>
      <c r="I132" s="51"/>
      <c r="J132" s="51"/>
      <c r="K132" s="51"/>
      <c r="L132" s="51"/>
      <c r="M132" s="51"/>
      <c r="N132" s="51"/>
      <c r="O132" s="51"/>
      <c r="P132" s="51"/>
      <c r="Q132" s="51"/>
    </row>
    <row r="134" spans="1:24" x14ac:dyDescent="0.2">
      <c r="B134" s="19" t="s">
        <v>33</v>
      </c>
      <c r="C134" s="19"/>
      <c r="D134" s="19"/>
      <c r="E134" s="19"/>
      <c r="F134" s="19"/>
      <c r="G134" s="19"/>
      <c r="H134" s="88">
        <v>0</v>
      </c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1:24" x14ac:dyDescent="0.2">
      <c r="B135" s="17" t="s">
        <v>110</v>
      </c>
      <c r="C135" s="17"/>
      <c r="D135" s="17"/>
      <c r="E135" s="17"/>
      <c r="F135" s="17"/>
      <c r="G135" s="17"/>
      <c r="H135" s="89">
        <v>7</v>
      </c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1:24" s="18" customFormat="1" x14ac:dyDescent="0.2">
      <c r="B136" s="9" t="s">
        <v>111</v>
      </c>
      <c r="C136" s="9"/>
      <c r="D136" s="9"/>
      <c r="E136" s="9"/>
      <c r="F136" s="9"/>
      <c r="G136" s="9"/>
      <c r="H136" s="90">
        <f>SUM(H134:H135,H132)</f>
        <v>91</v>
      </c>
      <c r="I136" s="90"/>
      <c r="J136" s="90"/>
      <c r="K136" s="90"/>
      <c r="L136" s="90"/>
      <c r="M136" s="90"/>
      <c r="N136" s="90"/>
      <c r="O136" s="90"/>
      <c r="P136" s="90"/>
      <c r="Q136" s="90"/>
    </row>
    <row r="138" spans="1:24" x14ac:dyDescent="0.2">
      <c r="B138" s="3" t="s">
        <v>112</v>
      </c>
      <c r="H138" s="60">
        <v>160</v>
      </c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24" s="18" customFormat="1" x14ac:dyDescent="0.2">
      <c r="B139" s="9" t="s">
        <v>113</v>
      </c>
      <c r="C139" s="9"/>
      <c r="D139" s="9"/>
      <c r="E139" s="9"/>
      <c r="F139" s="9"/>
      <c r="G139" s="9"/>
      <c r="H139" s="51">
        <f>H136+H138</f>
        <v>251</v>
      </c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1:24" x14ac:dyDescent="0.2">
      <c r="B140" s="3" t="s">
        <v>52</v>
      </c>
      <c r="H140" s="91" t="b">
        <f>ROUND(H139,3) = ROUND(H126,3)</f>
        <v>1</v>
      </c>
      <c r="I140" s="91" t="b">
        <f>ROUND(I139,3) = ROUND(I126,3)</f>
        <v>1</v>
      </c>
      <c r="J140" s="91" t="b">
        <f t="shared" ref="J140:Q140" si="40">ROUND(J139,3) = ROUND(J126,3)</f>
        <v>1</v>
      </c>
      <c r="K140" s="91" t="b">
        <f t="shared" si="40"/>
        <v>1</v>
      </c>
      <c r="L140" s="91" t="b">
        <f t="shared" si="40"/>
        <v>1</v>
      </c>
      <c r="M140" s="91" t="b">
        <f t="shared" si="40"/>
        <v>1</v>
      </c>
      <c r="N140" s="91" t="b">
        <f t="shared" si="40"/>
        <v>1</v>
      </c>
      <c r="O140" s="91" t="b">
        <f t="shared" si="40"/>
        <v>1</v>
      </c>
      <c r="P140" s="91" t="b">
        <f t="shared" si="40"/>
        <v>1</v>
      </c>
      <c r="Q140" s="91" t="b">
        <f t="shared" si="40"/>
        <v>1</v>
      </c>
    </row>
    <row r="141" spans="1:24" x14ac:dyDescent="0.2">
      <c r="J141" s="120"/>
      <c r="K141" s="120"/>
      <c r="L141" s="120"/>
      <c r="M141" s="120"/>
      <c r="N141" s="120"/>
      <c r="O141" s="120"/>
      <c r="P141" s="120"/>
      <c r="Q141" s="120"/>
    </row>
    <row r="143" spans="1:24" x14ac:dyDescent="0.2">
      <c r="A143" s="5" t="s">
        <v>35</v>
      </c>
      <c r="B143" s="6" t="s">
        <v>86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x14ac:dyDescent="0.2">
      <c r="B144" s="8" t="s">
        <v>37</v>
      </c>
    </row>
    <row r="146" spans="2:17" x14ac:dyDescent="0.2">
      <c r="B146" s="8" t="s">
        <v>88</v>
      </c>
      <c r="H146" s="53">
        <v>42369</v>
      </c>
      <c r="I146" s="53">
        <v>42735</v>
      </c>
      <c r="J146" s="54">
        <v>43100</v>
      </c>
      <c r="K146" s="54">
        <v>43465</v>
      </c>
      <c r="L146" s="54">
        <v>43830</v>
      </c>
      <c r="M146" s="54">
        <v>44196</v>
      </c>
      <c r="N146" s="54">
        <v>44561</v>
      </c>
      <c r="O146" s="54">
        <v>44926</v>
      </c>
      <c r="P146" s="54">
        <v>45291</v>
      </c>
      <c r="Q146" s="54">
        <v>45657</v>
      </c>
    </row>
    <row r="147" spans="2:17" ht="3" customHeight="1" x14ac:dyDescent="0.2"/>
    <row r="148" spans="2:17" x14ac:dyDescent="0.2">
      <c r="B148" s="22" t="s">
        <v>126</v>
      </c>
    </row>
    <row r="149" spans="2:17" x14ac:dyDescent="0.2">
      <c r="B149" s="19" t="s">
        <v>28</v>
      </c>
      <c r="C149" s="19"/>
      <c r="D149" s="19"/>
      <c r="E149" s="19"/>
      <c r="F149" s="19"/>
      <c r="G149" s="19"/>
      <c r="H149" s="19"/>
      <c r="I149" s="19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23" t="s">
        <v>127</v>
      </c>
      <c r="C150" s="16"/>
      <c r="D150" s="16"/>
      <c r="E150" s="16"/>
      <c r="F150" s="16"/>
      <c r="G150" s="16"/>
      <c r="H150" s="16"/>
      <c r="I150" s="16"/>
      <c r="J150" s="72"/>
      <c r="K150" s="72"/>
      <c r="L150" s="72"/>
      <c r="M150" s="72"/>
      <c r="N150" s="72"/>
      <c r="O150" s="72"/>
      <c r="P150" s="72"/>
      <c r="Q150" s="72"/>
    </row>
    <row r="151" spans="2:17" x14ac:dyDescent="0.2">
      <c r="B151" s="23" t="s">
        <v>128</v>
      </c>
      <c r="C151" s="16"/>
      <c r="D151" s="16"/>
      <c r="E151" s="16"/>
      <c r="F151" s="16"/>
      <c r="G151" s="16"/>
      <c r="H151" s="16"/>
      <c r="I151" s="16"/>
      <c r="J151" s="72"/>
      <c r="K151" s="72"/>
      <c r="L151" s="72"/>
      <c r="M151" s="72"/>
      <c r="N151" s="72"/>
      <c r="O151" s="72"/>
      <c r="P151" s="72"/>
      <c r="Q151" s="72"/>
    </row>
    <row r="152" spans="2:17" x14ac:dyDescent="0.2">
      <c r="B152" s="24" t="s">
        <v>129</v>
      </c>
      <c r="C152" s="17"/>
      <c r="D152" s="17"/>
      <c r="E152" s="17"/>
      <c r="F152" s="17"/>
      <c r="G152" s="17"/>
      <c r="H152" s="17"/>
      <c r="I152" s="17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64" t="s">
        <v>126</v>
      </c>
      <c r="C153" s="14"/>
      <c r="D153" s="14"/>
      <c r="E153" s="14"/>
      <c r="F153" s="14"/>
      <c r="G153" s="14"/>
      <c r="H153" s="14"/>
      <c r="I153" s="14"/>
      <c r="J153" s="51"/>
      <c r="K153" s="51"/>
      <c r="L153" s="51"/>
      <c r="M153" s="51"/>
      <c r="N153" s="51"/>
      <c r="O153" s="51"/>
      <c r="P153" s="51"/>
      <c r="Q153" s="51"/>
    </row>
    <row r="154" spans="2:17" x14ac:dyDescent="0.2">
      <c r="B154" s="20" t="s">
        <v>130</v>
      </c>
      <c r="H154" s="98">
        <v>-17.003999999999998</v>
      </c>
      <c r="I154" s="98">
        <v>-17</v>
      </c>
      <c r="J154" s="50"/>
      <c r="K154" s="50"/>
      <c r="L154" s="50"/>
      <c r="M154" s="50"/>
      <c r="N154" s="50"/>
      <c r="O154" s="50"/>
      <c r="P154" s="50"/>
      <c r="Q154" s="50"/>
    </row>
    <row r="155" spans="2:17" x14ac:dyDescent="0.2">
      <c r="B155" s="64" t="s">
        <v>131</v>
      </c>
      <c r="C155" s="14"/>
      <c r="D155" s="14"/>
      <c r="E155" s="14"/>
      <c r="F155" s="14"/>
      <c r="G155" s="14"/>
      <c r="H155" s="14"/>
      <c r="I155" s="14"/>
      <c r="J155" s="51"/>
      <c r="K155" s="51"/>
      <c r="L155" s="51"/>
      <c r="M155" s="51"/>
      <c r="N155" s="51"/>
      <c r="O155" s="51"/>
      <c r="P155" s="51"/>
      <c r="Q155" s="51"/>
    </row>
    <row r="156" spans="2:17" x14ac:dyDescent="0.2">
      <c r="B156" s="20"/>
    </row>
    <row r="157" spans="2:17" x14ac:dyDescent="0.2">
      <c r="B157" s="21" t="s">
        <v>10</v>
      </c>
      <c r="C157" s="19"/>
      <c r="D157" s="19"/>
      <c r="E157" s="19"/>
      <c r="F157" s="19"/>
      <c r="G157" s="19"/>
      <c r="H157" s="19"/>
      <c r="I157" s="19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23" t="s">
        <v>132</v>
      </c>
      <c r="C158" s="16"/>
      <c r="D158" s="16"/>
      <c r="E158" s="16"/>
      <c r="F158" s="16"/>
      <c r="G158" s="16"/>
      <c r="H158" s="16"/>
      <c r="I158" s="16"/>
      <c r="J158" s="72"/>
      <c r="K158" s="72"/>
      <c r="L158" s="72"/>
      <c r="M158" s="72"/>
      <c r="N158" s="72"/>
      <c r="O158" s="72"/>
      <c r="P158" s="72"/>
      <c r="Q158" s="72"/>
    </row>
    <row r="159" spans="2:17" x14ac:dyDescent="0.2">
      <c r="B159" s="24" t="s">
        <v>133</v>
      </c>
      <c r="C159" s="17"/>
      <c r="D159" s="17"/>
      <c r="E159" s="17"/>
      <c r="F159" s="17"/>
      <c r="G159" s="17"/>
      <c r="H159" s="17"/>
      <c r="I159" s="17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64" t="s">
        <v>134</v>
      </c>
      <c r="C160" s="14"/>
      <c r="D160" s="14"/>
      <c r="E160" s="14"/>
      <c r="F160" s="14"/>
      <c r="G160" s="14"/>
      <c r="H160" s="14"/>
      <c r="I160" s="14"/>
      <c r="J160" s="51"/>
      <c r="K160" s="51"/>
      <c r="L160" s="51"/>
      <c r="M160" s="51"/>
      <c r="N160" s="51"/>
      <c r="O160" s="51"/>
      <c r="P160" s="51"/>
      <c r="Q160" s="51"/>
    </row>
    <row r="161" spans="1:24" x14ac:dyDescent="0.2">
      <c r="B161" s="20"/>
    </row>
    <row r="162" spans="1:24" x14ac:dyDescent="0.2">
      <c r="B162" s="21" t="s">
        <v>135</v>
      </c>
      <c r="C162" s="19"/>
      <c r="D162" s="19"/>
      <c r="E162" s="19"/>
      <c r="F162" s="19"/>
      <c r="G162" s="19"/>
      <c r="H162" s="19"/>
      <c r="I162" s="19"/>
      <c r="J162" s="82"/>
      <c r="K162" s="82"/>
      <c r="L162" s="82"/>
      <c r="M162" s="82"/>
      <c r="N162" s="82"/>
      <c r="O162" s="82"/>
      <c r="P162" s="82"/>
      <c r="Q162" s="82"/>
    </row>
    <row r="163" spans="1:24" x14ac:dyDescent="0.2">
      <c r="B163" s="20" t="s">
        <v>136</v>
      </c>
      <c r="J163" s="50"/>
      <c r="K163" s="50"/>
      <c r="L163" s="50"/>
      <c r="M163" s="50"/>
      <c r="N163" s="50"/>
      <c r="O163" s="50"/>
      <c r="P163" s="50"/>
      <c r="Q163" s="50"/>
    </row>
    <row r="164" spans="1:24" x14ac:dyDescent="0.2">
      <c r="B164" s="20"/>
    </row>
    <row r="165" spans="1:24" x14ac:dyDescent="0.2">
      <c r="B165" s="20" t="s">
        <v>143</v>
      </c>
      <c r="J165" s="49"/>
      <c r="K165" s="49"/>
      <c r="L165" s="49"/>
      <c r="M165" s="49"/>
      <c r="N165" s="49"/>
      <c r="O165" s="49"/>
      <c r="P165" s="49"/>
      <c r="Q165" s="49"/>
    </row>
    <row r="166" spans="1:24" x14ac:dyDescent="0.2">
      <c r="B166" s="64" t="s">
        <v>16</v>
      </c>
      <c r="C166" s="14"/>
      <c r="D166" s="14"/>
      <c r="E166" s="14"/>
      <c r="F166" s="14"/>
      <c r="G166" s="14"/>
      <c r="H166" s="14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1:24" x14ac:dyDescent="0.2">
      <c r="B167" s="67"/>
    </row>
    <row r="168" spans="1:24" x14ac:dyDescent="0.2">
      <c r="B168" s="68" t="s">
        <v>98</v>
      </c>
    </row>
    <row r="169" spans="1:24" x14ac:dyDescent="0.2">
      <c r="B169" s="21" t="s">
        <v>144</v>
      </c>
      <c r="C169" s="19"/>
      <c r="D169" s="19"/>
      <c r="E169" s="19"/>
      <c r="F169" s="19"/>
      <c r="G169" s="63"/>
      <c r="H169" s="19"/>
      <c r="I169" s="19"/>
      <c r="J169" s="82"/>
      <c r="K169" s="82"/>
      <c r="L169" s="82"/>
      <c r="M169" s="82"/>
      <c r="N169" s="82"/>
      <c r="O169" s="82"/>
      <c r="P169" s="82"/>
      <c r="Q169" s="82"/>
    </row>
    <row r="170" spans="1:24" x14ac:dyDescent="0.2">
      <c r="B170" s="20" t="s">
        <v>145</v>
      </c>
      <c r="G170" s="99">
        <f>H35</f>
        <v>2.5000000000000001E-3</v>
      </c>
      <c r="J170" s="50"/>
      <c r="K170" s="50"/>
      <c r="L170" s="50"/>
      <c r="M170" s="50"/>
      <c r="N170" s="50"/>
      <c r="O170" s="50"/>
      <c r="P170" s="50"/>
      <c r="Q170" s="50"/>
    </row>
    <row r="171" spans="1:24" x14ac:dyDescent="0.2">
      <c r="B171" s="20"/>
    </row>
    <row r="173" spans="1:24" x14ac:dyDescent="0.2">
      <c r="A173" s="5" t="s">
        <v>35</v>
      </c>
      <c r="B173" s="6" t="s">
        <v>87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x14ac:dyDescent="0.2">
      <c r="B174" s="8" t="s">
        <v>37</v>
      </c>
    </row>
    <row r="176" spans="1:24" x14ac:dyDescent="0.2">
      <c r="B176" s="8" t="s">
        <v>88</v>
      </c>
      <c r="I176" s="140">
        <f>I$115</f>
        <v>42735</v>
      </c>
      <c r="J176" s="54">
        <f t="shared" ref="J176:Q176" si="41">J$115</f>
        <v>43100</v>
      </c>
      <c r="K176" s="54">
        <f t="shared" si="41"/>
        <v>43465</v>
      </c>
      <c r="L176" s="54">
        <f t="shared" si="41"/>
        <v>43830</v>
      </c>
      <c r="M176" s="54">
        <f t="shared" si="41"/>
        <v>44196</v>
      </c>
      <c r="N176" s="54">
        <f t="shared" si="41"/>
        <v>44561</v>
      </c>
      <c r="O176" s="54">
        <f t="shared" si="41"/>
        <v>44926</v>
      </c>
      <c r="P176" s="54">
        <f t="shared" si="41"/>
        <v>45291</v>
      </c>
      <c r="Q176" s="54">
        <f t="shared" si="41"/>
        <v>45657</v>
      </c>
    </row>
    <row r="177" spans="2:17" ht="3" customHeight="1" x14ac:dyDescent="0.2"/>
    <row r="179" spans="2:17" x14ac:dyDescent="0.2">
      <c r="B179" s="22" t="s">
        <v>146</v>
      </c>
    </row>
    <row r="180" spans="2:17" x14ac:dyDescent="0.2">
      <c r="B180" s="19" t="s">
        <v>21</v>
      </c>
      <c r="C180" s="19"/>
      <c r="D180" s="19"/>
      <c r="E180" s="19"/>
      <c r="F180" s="19"/>
      <c r="G180" s="19"/>
      <c r="H180" s="19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16" t="s">
        <v>20</v>
      </c>
      <c r="C181" s="16"/>
      <c r="D181" s="16"/>
      <c r="E181" s="16"/>
      <c r="F181" s="16"/>
      <c r="G181" s="16"/>
      <c r="H181" s="16"/>
      <c r="I181" s="72"/>
      <c r="J181" s="72"/>
      <c r="K181" s="72"/>
      <c r="L181" s="72"/>
      <c r="M181" s="72"/>
      <c r="N181" s="72"/>
      <c r="O181" s="72"/>
      <c r="P181" s="72"/>
      <c r="Q181" s="72"/>
    </row>
    <row r="182" spans="2:17" x14ac:dyDescent="0.2">
      <c r="B182" s="16" t="s">
        <v>43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7" t="s">
        <v>44</v>
      </c>
      <c r="C183" s="17"/>
      <c r="D183" s="17"/>
      <c r="E183" s="17"/>
      <c r="F183" s="17"/>
      <c r="G183" s="17"/>
      <c r="H183" s="17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s="18" customFormat="1" x14ac:dyDescent="0.2">
      <c r="B184" s="9" t="s">
        <v>80</v>
      </c>
      <c r="C184" s="9"/>
      <c r="D184" s="9"/>
      <c r="E184" s="9"/>
      <c r="F184" s="9"/>
      <c r="G184" s="9"/>
      <c r="H184" s="9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2:17" x14ac:dyDescent="0.2">
      <c r="C185" s="8" t="s">
        <v>168</v>
      </c>
      <c r="J185" s="57">
        <f>IFERROR(J184/$I184,0)</f>
        <v>0</v>
      </c>
      <c r="K185" s="57">
        <f t="shared" ref="K185:Q185" si="42">IFERROR(K184/$I184,0)</f>
        <v>0</v>
      </c>
      <c r="L185" s="57">
        <f t="shared" si="42"/>
        <v>0</v>
      </c>
      <c r="M185" s="57">
        <f t="shared" si="42"/>
        <v>0</v>
      </c>
      <c r="N185" s="57">
        <f t="shared" si="42"/>
        <v>0</v>
      </c>
      <c r="O185" s="57">
        <f t="shared" si="42"/>
        <v>0</v>
      </c>
      <c r="P185" s="57">
        <f t="shared" si="42"/>
        <v>0</v>
      </c>
      <c r="Q185" s="57">
        <f t="shared" si="42"/>
        <v>0</v>
      </c>
    </row>
    <row r="187" spans="2:17" x14ac:dyDescent="0.2">
      <c r="B187" s="22" t="s">
        <v>98</v>
      </c>
    </row>
    <row r="188" spans="2:17" x14ac:dyDescent="0.2">
      <c r="B188" s="63" t="s">
        <v>147</v>
      </c>
      <c r="C188" s="63"/>
      <c r="D188" s="63"/>
      <c r="E188" s="63"/>
      <c r="F188" s="63"/>
      <c r="G188" s="100">
        <f>Q15</f>
        <v>100</v>
      </c>
      <c r="H188" s="63"/>
      <c r="I188" s="101"/>
      <c r="J188" s="101"/>
      <c r="K188" s="101"/>
      <c r="L188" s="101"/>
      <c r="M188" s="101"/>
      <c r="N188" s="101"/>
      <c r="O188" s="101"/>
      <c r="P188" s="101"/>
      <c r="Q188" s="101"/>
    </row>
    <row r="190" spans="2:17" x14ac:dyDescent="0.2">
      <c r="B190" s="69" t="s">
        <v>148</v>
      </c>
      <c r="C190" s="69"/>
      <c r="D190" s="69"/>
      <c r="E190" s="69"/>
      <c r="F190" s="69"/>
      <c r="G190" s="69"/>
      <c r="H190" s="69"/>
      <c r="I190" s="69"/>
      <c r="J190" s="102"/>
      <c r="K190" s="102"/>
      <c r="L190" s="102"/>
      <c r="M190" s="102"/>
      <c r="N190" s="102"/>
      <c r="O190" s="102"/>
      <c r="P190" s="102"/>
      <c r="Q190" s="102"/>
    </row>
    <row r="192" spans="2:17" x14ac:dyDescent="0.2">
      <c r="B192" s="22" t="s">
        <v>149</v>
      </c>
    </row>
    <row r="193" spans="2:17" x14ac:dyDescent="0.2">
      <c r="B193" s="19" t="s">
        <v>21</v>
      </c>
      <c r="C193" s="19"/>
      <c r="D193" s="19"/>
      <c r="E193" s="19"/>
      <c r="F193" s="19"/>
      <c r="G193" s="19"/>
      <c r="H193" s="19"/>
      <c r="I193" s="19"/>
      <c r="J193" s="65">
        <v>0</v>
      </c>
      <c r="K193" s="61">
        <f>J193</f>
        <v>0</v>
      </c>
      <c r="L193" s="61">
        <f t="shared" ref="L193:Q193" si="43">K193</f>
        <v>0</v>
      </c>
      <c r="M193" s="61">
        <f t="shared" si="43"/>
        <v>0</v>
      </c>
      <c r="N193" s="61">
        <f t="shared" si="43"/>
        <v>0</v>
      </c>
      <c r="O193" s="61">
        <f t="shared" si="43"/>
        <v>0</v>
      </c>
      <c r="P193" s="61">
        <f t="shared" si="43"/>
        <v>0</v>
      </c>
      <c r="Q193" s="61">
        <f t="shared" si="43"/>
        <v>0</v>
      </c>
    </row>
    <row r="194" spans="2:17" x14ac:dyDescent="0.2">
      <c r="B194" s="16" t="s">
        <v>20</v>
      </c>
      <c r="C194" s="16"/>
      <c r="D194" s="16"/>
      <c r="E194" s="16"/>
      <c r="F194" s="16"/>
      <c r="G194" s="16"/>
      <c r="H194" s="16"/>
      <c r="I194" s="16"/>
      <c r="J194" s="62">
        <f>U11</f>
        <v>0.01</v>
      </c>
      <c r="K194" s="62">
        <f t="shared" ref="K194:Q196" si="44">J194</f>
        <v>0.01</v>
      </c>
      <c r="L194" s="62">
        <f t="shared" si="44"/>
        <v>0.01</v>
      </c>
      <c r="M194" s="62">
        <f t="shared" si="44"/>
        <v>0.01</v>
      </c>
      <c r="N194" s="62">
        <f t="shared" si="44"/>
        <v>0.01</v>
      </c>
      <c r="O194" s="62">
        <f t="shared" si="44"/>
        <v>0.01</v>
      </c>
      <c r="P194" s="62">
        <f t="shared" si="44"/>
        <v>0.01</v>
      </c>
      <c r="Q194" s="62">
        <f t="shared" si="44"/>
        <v>0.01</v>
      </c>
    </row>
    <row r="195" spans="2:17" x14ac:dyDescent="0.2">
      <c r="B195" s="16" t="s">
        <v>43</v>
      </c>
      <c r="C195" s="16"/>
      <c r="D195" s="16"/>
      <c r="E195" s="16"/>
      <c r="F195" s="16"/>
      <c r="G195" s="16"/>
      <c r="H195" s="16"/>
      <c r="I195" s="16"/>
      <c r="J195" s="62">
        <f>U12</f>
        <v>0</v>
      </c>
      <c r="K195" s="62">
        <f t="shared" si="44"/>
        <v>0</v>
      </c>
      <c r="L195" s="62">
        <f t="shared" si="44"/>
        <v>0</v>
      </c>
      <c r="M195" s="62">
        <f t="shared" si="44"/>
        <v>0</v>
      </c>
      <c r="N195" s="62">
        <f t="shared" si="44"/>
        <v>0</v>
      </c>
      <c r="O195" s="62">
        <f t="shared" si="44"/>
        <v>0</v>
      </c>
      <c r="P195" s="62">
        <f t="shared" si="44"/>
        <v>0</v>
      </c>
      <c r="Q195" s="62">
        <f t="shared" si="44"/>
        <v>0</v>
      </c>
    </row>
    <row r="196" spans="2:17" x14ac:dyDescent="0.2">
      <c r="B196" s="17" t="s">
        <v>44</v>
      </c>
      <c r="C196" s="17"/>
      <c r="D196" s="17"/>
      <c r="E196" s="17"/>
      <c r="F196" s="17"/>
      <c r="G196" s="17"/>
      <c r="H196" s="17"/>
      <c r="I196" s="17"/>
      <c r="J196" s="76">
        <f>U13</f>
        <v>0</v>
      </c>
      <c r="K196" s="76">
        <f t="shared" si="44"/>
        <v>0</v>
      </c>
      <c r="L196" s="76">
        <f t="shared" si="44"/>
        <v>0</v>
      </c>
      <c r="M196" s="76">
        <f t="shared" si="44"/>
        <v>0</v>
      </c>
      <c r="N196" s="76">
        <f t="shared" si="44"/>
        <v>0</v>
      </c>
      <c r="O196" s="76">
        <f t="shared" si="44"/>
        <v>0</v>
      </c>
      <c r="P196" s="76">
        <f t="shared" si="44"/>
        <v>0</v>
      </c>
      <c r="Q196" s="76">
        <f t="shared" si="44"/>
        <v>0</v>
      </c>
    </row>
    <row r="198" spans="2:17" x14ac:dyDescent="0.2">
      <c r="B198" s="22" t="s">
        <v>11</v>
      </c>
    </row>
    <row r="199" spans="2:17" x14ac:dyDescent="0.2">
      <c r="B199" s="19" t="s">
        <v>21</v>
      </c>
      <c r="C199" s="19"/>
      <c r="D199" s="19"/>
      <c r="E199" s="19"/>
      <c r="F199" s="19"/>
      <c r="G199" s="19"/>
      <c r="H199" s="19"/>
      <c r="I199" s="19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16" t="s">
        <v>20</v>
      </c>
      <c r="C200" s="16"/>
      <c r="D200" s="16"/>
      <c r="E200" s="16"/>
      <c r="F200" s="16"/>
      <c r="G200" s="16"/>
      <c r="H200" s="16"/>
      <c r="I200" s="16"/>
      <c r="J200" s="72"/>
      <c r="K200" s="72"/>
      <c r="L200" s="72"/>
      <c r="M200" s="72"/>
      <c r="N200" s="72"/>
      <c r="O200" s="72"/>
      <c r="P200" s="72"/>
      <c r="Q200" s="72"/>
    </row>
    <row r="201" spans="2:17" x14ac:dyDescent="0.2">
      <c r="B201" s="16" t="s">
        <v>43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7" t="s">
        <v>44</v>
      </c>
      <c r="C202" s="17"/>
      <c r="D202" s="17"/>
      <c r="E202" s="17"/>
      <c r="F202" s="17"/>
      <c r="G202" s="17"/>
      <c r="H202" s="17"/>
      <c r="I202" s="17"/>
      <c r="J202" s="73"/>
      <c r="K202" s="73"/>
      <c r="L202" s="73"/>
      <c r="M202" s="73"/>
      <c r="N202" s="73"/>
      <c r="O202" s="73"/>
      <c r="P202" s="73"/>
      <c r="Q202" s="73"/>
    </row>
    <row r="203" spans="2:17" s="18" customFormat="1" x14ac:dyDescent="0.2">
      <c r="B203" s="9" t="s">
        <v>80</v>
      </c>
      <c r="C203" s="9"/>
      <c r="D203" s="9"/>
      <c r="E203" s="9"/>
      <c r="F203" s="9"/>
      <c r="G203" s="9"/>
      <c r="H203" s="9"/>
      <c r="I203" s="9"/>
      <c r="J203" s="51"/>
      <c r="K203" s="51"/>
      <c r="L203" s="51"/>
      <c r="M203" s="51"/>
      <c r="N203" s="51"/>
      <c r="O203" s="51"/>
      <c r="P203" s="51"/>
      <c r="Q203" s="51"/>
    </row>
    <row r="204" spans="2:17" s="70" customFormat="1" x14ac:dyDescent="0.2"/>
    <row r="205" spans="2:17" x14ac:dyDescent="0.2">
      <c r="B205" s="69" t="s">
        <v>150</v>
      </c>
      <c r="C205" s="69"/>
      <c r="D205" s="69"/>
      <c r="E205" s="69"/>
      <c r="F205" s="69"/>
      <c r="G205" s="69"/>
      <c r="H205" s="69"/>
      <c r="I205" s="69"/>
      <c r="J205" s="102"/>
      <c r="K205" s="102"/>
      <c r="L205" s="102"/>
      <c r="M205" s="102"/>
      <c r="N205" s="102"/>
      <c r="O205" s="102"/>
      <c r="P205" s="102"/>
      <c r="Q205" s="102"/>
    </row>
    <row r="206" spans="2:17" s="70" customFormat="1" x14ac:dyDescent="0.2"/>
    <row r="207" spans="2:17" x14ac:dyDescent="0.2">
      <c r="B207" s="22" t="s">
        <v>151</v>
      </c>
    </row>
    <row r="208" spans="2:17" x14ac:dyDescent="0.2">
      <c r="B208" s="19" t="s">
        <v>21</v>
      </c>
      <c r="C208" s="19"/>
      <c r="D208" s="19"/>
      <c r="E208" s="19"/>
      <c r="F208" s="19"/>
      <c r="G208" s="19"/>
      <c r="H208" s="19"/>
      <c r="I208" s="19"/>
      <c r="J208" s="82"/>
      <c r="K208" s="82"/>
      <c r="L208" s="82"/>
      <c r="M208" s="82"/>
      <c r="N208" s="82"/>
      <c r="O208" s="82"/>
      <c r="P208" s="82"/>
      <c r="Q208" s="82"/>
    </row>
    <row r="209" spans="1:24" x14ac:dyDescent="0.2">
      <c r="B209" s="16" t="s">
        <v>20</v>
      </c>
      <c r="C209" s="16"/>
      <c r="D209" s="16"/>
      <c r="E209" s="16"/>
      <c r="F209" s="16"/>
      <c r="G209" s="16"/>
      <c r="H209" s="16"/>
      <c r="I209" s="16"/>
      <c r="J209" s="72"/>
      <c r="K209" s="72"/>
      <c r="L209" s="72"/>
      <c r="M209" s="72"/>
      <c r="N209" s="72"/>
      <c r="O209" s="72"/>
      <c r="P209" s="72"/>
      <c r="Q209" s="72"/>
    </row>
    <row r="210" spans="1:24" x14ac:dyDescent="0.2">
      <c r="B210" s="16" t="s">
        <v>43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7" t="s">
        <v>44</v>
      </c>
      <c r="C211" s="17"/>
      <c r="D211" s="17"/>
      <c r="E211" s="17"/>
      <c r="F211" s="17"/>
      <c r="G211" s="17"/>
      <c r="H211" s="17"/>
      <c r="I211" s="17"/>
      <c r="J211" s="72"/>
      <c r="K211" s="72"/>
      <c r="L211" s="72"/>
      <c r="M211" s="72"/>
      <c r="N211" s="72"/>
      <c r="O211" s="72"/>
      <c r="P211" s="72"/>
      <c r="Q211" s="72"/>
    </row>
    <row r="212" spans="1:24" s="18" customFormat="1" x14ac:dyDescent="0.2">
      <c r="B212" s="9" t="s">
        <v>80</v>
      </c>
      <c r="C212" s="9"/>
      <c r="D212" s="9"/>
      <c r="E212" s="9"/>
      <c r="F212" s="9"/>
      <c r="G212" s="9"/>
      <c r="H212" s="9"/>
      <c r="I212" s="9"/>
      <c r="J212" s="51"/>
      <c r="K212" s="51"/>
      <c r="L212" s="51"/>
      <c r="M212" s="51"/>
      <c r="N212" s="51"/>
      <c r="O212" s="51"/>
      <c r="P212" s="51"/>
      <c r="Q212" s="51"/>
    </row>
    <row r="215" spans="1:24" x14ac:dyDescent="0.2">
      <c r="A215" s="5" t="s">
        <v>35</v>
      </c>
      <c r="B215" s="6" t="s">
        <v>152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x14ac:dyDescent="0.2">
      <c r="B216" s="8" t="s">
        <v>37</v>
      </c>
    </row>
    <row r="218" spans="1:24" x14ac:dyDescent="0.2">
      <c r="B218" s="8" t="s">
        <v>88</v>
      </c>
      <c r="J218" s="54">
        <f t="shared" ref="J218:Q218" si="45">J$115</f>
        <v>43100</v>
      </c>
      <c r="K218" s="54">
        <f t="shared" si="45"/>
        <v>43465</v>
      </c>
      <c r="L218" s="54">
        <f t="shared" si="45"/>
        <v>43830</v>
      </c>
      <c r="M218" s="54">
        <f t="shared" si="45"/>
        <v>44196</v>
      </c>
      <c r="N218" s="54">
        <f t="shared" si="45"/>
        <v>44561</v>
      </c>
      <c r="O218" s="54">
        <f t="shared" si="45"/>
        <v>44926</v>
      </c>
      <c r="P218" s="54">
        <f t="shared" si="45"/>
        <v>45291</v>
      </c>
      <c r="Q218" s="54">
        <f t="shared" si="45"/>
        <v>45657</v>
      </c>
    </row>
    <row r="219" spans="1:24" ht="3" customHeight="1" x14ac:dyDescent="0.2"/>
    <row r="221" spans="1:24" x14ac:dyDescent="0.2">
      <c r="B221" s="9" t="s">
        <v>0</v>
      </c>
      <c r="C221" s="14"/>
      <c r="D221" s="14"/>
      <c r="E221" s="14"/>
      <c r="F221" s="14"/>
      <c r="G221" s="14"/>
      <c r="H221" s="14"/>
      <c r="I221" s="14"/>
      <c r="J221" s="103">
        <v>5.0000000000000001E-3</v>
      </c>
      <c r="K221" s="103">
        <v>1.0999999999999999E-2</v>
      </c>
      <c r="L221" s="103">
        <v>1.4999999999999999E-2</v>
      </c>
      <c r="M221" s="103">
        <v>2.1499999999999998E-2</v>
      </c>
      <c r="N221" s="103">
        <v>2.5000000000000001E-2</v>
      </c>
      <c r="O221" s="103">
        <v>0.03</v>
      </c>
      <c r="P221" s="103">
        <v>0.03</v>
      </c>
      <c r="Q221" s="103">
        <v>0.03</v>
      </c>
    </row>
    <row r="223" spans="1:24" x14ac:dyDescent="0.2">
      <c r="B223" s="22" t="s">
        <v>154</v>
      </c>
    </row>
    <row r="224" spans="1:24" x14ac:dyDescent="0.2">
      <c r="B224" s="19" t="s">
        <v>166</v>
      </c>
      <c r="C224" s="19"/>
      <c r="D224" s="19"/>
      <c r="E224" s="19"/>
      <c r="F224" s="19"/>
      <c r="G224" s="19"/>
      <c r="H224" s="19"/>
      <c r="I224" s="19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16" t="s">
        <v>21</v>
      </c>
      <c r="C225" s="16"/>
      <c r="D225" s="16"/>
      <c r="E225" s="16"/>
      <c r="F225" s="16"/>
      <c r="G225" s="16"/>
      <c r="H225" s="16"/>
      <c r="I225" s="16"/>
      <c r="J225" s="72"/>
      <c r="K225" s="72"/>
      <c r="L225" s="72"/>
      <c r="M225" s="72"/>
      <c r="N225" s="72"/>
      <c r="O225" s="72"/>
      <c r="P225" s="72"/>
      <c r="Q225" s="72"/>
    </row>
    <row r="226" spans="2:17" x14ac:dyDescent="0.2">
      <c r="B226" s="16" t="s">
        <v>20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43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7" t="s">
        <v>44</v>
      </c>
      <c r="C228" s="17"/>
      <c r="D228" s="17"/>
      <c r="E228" s="17"/>
      <c r="F228" s="17"/>
      <c r="G228" s="17"/>
      <c r="H228" s="17"/>
      <c r="I228" s="17"/>
      <c r="J228" s="73"/>
      <c r="K228" s="73"/>
      <c r="L228" s="73"/>
      <c r="M228" s="73"/>
      <c r="N228" s="73"/>
      <c r="O228" s="73"/>
      <c r="P228" s="73"/>
      <c r="Q228" s="73"/>
    </row>
    <row r="229" spans="2:17" s="63" customFormat="1" x14ac:dyDescent="0.2"/>
    <row r="230" spans="2:17" x14ac:dyDescent="0.2">
      <c r="B230" s="22" t="s">
        <v>153</v>
      </c>
      <c r="G230" s="105" t="s">
        <v>70</v>
      </c>
      <c r="H230" s="105" t="s">
        <v>29</v>
      </c>
    </row>
    <row r="231" spans="2:17" x14ac:dyDescent="0.2">
      <c r="B231" s="19" t="s">
        <v>166</v>
      </c>
      <c r="C231" s="19"/>
      <c r="D231" s="19"/>
      <c r="E231" s="19"/>
      <c r="F231" s="19"/>
      <c r="G231" s="34">
        <v>0</v>
      </c>
      <c r="H231" s="108">
        <f>Q16</f>
        <v>3.5000000000000001E-3</v>
      </c>
      <c r="I231" s="19"/>
      <c r="J231" s="108"/>
      <c r="K231" s="108"/>
      <c r="L231" s="108"/>
      <c r="M231" s="108"/>
      <c r="N231" s="108"/>
      <c r="O231" s="108"/>
      <c r="P231" s="108"/>
      <c r="Q231" s="108"/>
    </row>
    <row r="232" spans="2:17" x14ac:dyDescent="0.2">
      <c r="B232" s="16" t="s">
        <v>21</v>
      </c>
      <c r="C232" s="16"/>
      <c r="D232" s="16"/>
      <c r="E232" s="16"/>
      <c r="F232" s="16"/>
      <c r="G232" s="106">
        <f t="shared" ref="G232:H235" si="46">S10</f>
        <v>1</v>
      </c>
      <c r="H232" s="110">
        <f t="shared" si="46"/>
        <v>0.02</v>
      </c>
      <c r="I232" s="16"/>
      <c r="J232" s="111"/>
      <c r="K232" s="111"/>
      <c r="L232" s="111"/>
      <c r="M232" s="111"/>
      <c r="N232" s="111"/>
      <c r="O232" s="111"/>
      <c r="P232" s="111"/>
      <c r="Q232" s="111"/>
    </row>
    <row r="233" spans="2:17" x14ac:dyDescent="0.2">
      <c r="B233" s="16" t="s">
        <v>20</v>
      </c>
      <c r="C233" s="16"/>
      <c r="D233" s="16"/>
      <c r="E233" s="16"/>
      <c r="F233" s="16"/>
      <c r="G233" s="106">
        <f t="shared" si="46"/>
        <v>1</v>
      </c>
      <c r="H233" s="109">
        <f t="shared" si="46"/>
        <v>0.03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43</v>
      </c>
      <c r="C234" s="16"/>
      <c r="D234" s="16"/>
      <c r="E234" s="16"/>
      <c r="F234" s="16"/>
      <c r="G234" s="106">
        <f t="shared" si="46"/>
        <v>0</v>
      </c>
      <c r="H234" s="111">
        <f t="shared" si="46"/>
        <v>7.0000000000000007E-2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7" t="s">
        <v>44</v>
      </c>
      <c r="C235" s="17"/>
      <c r="D235" s="17"/>
      <c r="E235" s="17"/>
      <c r="F235" s="17"/>
      <c r="G235" s="107">
        <f t="shared" si="46"/>
        <v>0</v>
      </c>
      <c r="H235" s="112">
        <f t="shared" si="46"/>
        <v>8.5000000000000006E-2</v>
      </c>
      <c r="I235" s="17"/>
      <c r="J235" s="112"/>
      <c r="K235" s="112"/>
      <c r="L235" s="112"/>
      <c r="M235" s="112"/>
      <c r="N235" s="112"/>
      <c r="O235" s="112"/>
      <c r="P235" s="112"/>
      <c r="Q235" s="112"/>
    </row>
    <row r="237" spans="2:17" x14ac:dyDescent="0.2">
      <c r="B237" s="22" t="s">
        <v>1</v>
      </c>
    </row>
    <row r="238" spans="2:17" x14ac:dyDescent="0.2">
      <c r="B238" s="19" t="s">
        <v>166</v>
      </c>
      <c r="C238" s="19"/>
      <c r="D238" s="19"/>
      <c r="E238" s="19"/>
      <c r="F238" s="19"/>
      <c r="G238" s="19"/>
      <c r="H238" s="19"/>
      <c r="I238" s="19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16" t="s">
        <v>21</v>
      </c>
      <c r="C239" s="16"/>
      <c r="D239" s="16"/>
      <c r="E239" s="16"/>
      <c r="F239" s="16"/>
      <c r="G239" s="16"/>
      <c r="H239" s="16"/>
      <c r="I239" s="16"/>
      <c r="J239" s="72"/>
      <c r="K239" s="72"/>
      <c r="L239" s="72"/>
      <c r="M239" s="72"/>
      <c r="N239" s="72"/>
      <c r="O239" s="72"/>
      <c r="P239" s="72"/>
      <c r="Q239" s="72"/>
    </row>
    <row r="240" spans="2:17" x14ac:dyDescent="0.2">
      <c r="B240" s="16" t="s">
        <v>20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43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7" t="s">
        <v>44</v>
      </c>
      <c r="C242" s="17"/>
      <c r="D242" s="17"/>
      <c r="E242" s="17"/>
      <c r="F242" s="17"/>
      <c r="G242" s="17"/>
      <c r="H242" s="17"/>
      <c r="I242" s="17"/>
      <c r="J242" s="73"/>
      <c r="K242" s="73"/>
      <c r="L242" s="73"/>
      <c r="M242" s="73"/>
      <c r="N242" s="73"/>
      <c r="O242" s="73"/>
      <c r="P242" s="73"/>
      <c r="Q242" s="73"/>
    </row>
    <row r="243" spans="2:17" s="18" customFormat="1" x14ac:dyDescent="0.2">
      <c r="B243" s="9" t="s">
        <v>80</v>
      </c>
      <c r="C243" s="9"/>
      <c r="D243" s="9"/>
      <c r="E243" s="9"/>
      <c r="F243" s="9"/>
      <c r="G243" s="9"/>
      <c r="H243" s="9"/>
      <c r="I243" s="9"/>
      <c r="J243" s="51"/>
      <c r="K243" s="51"/>
      <c r="L243" s="51"/>
      <c r="M243" s="51"/>
      <c r="N243" s="51"/>
      <c r="O243" s="51"/>
      <c r="P243" s="51"/>
      <c r="Q243" s="51"/>
    </row>
    <row r="245" spans="2:17" s="63" customFormat="1" x14ac:dyDescent="0.2">
      <c r="B245" s="104" t="s">
        <v>155</v>
      </c>
      <c r="G245" s="115" t="s">
        <v>12</v>
      </c>
    </row>
    <row r="246" spans="2:17" x14ac:dyDescent="0.2">
      <c r="B246" s="19" t="s">
        <v>43</v>
      </c>
      <c r="C246" s="19"/>
      <c r="D246" s="19"/>
      <c r="E246" s="19"/>
      <c r="F246" s="19"/>
      <c r="G246" s="113">
        <f>V12</f>
        <v>0</v>
      </c>
      <c r="H246" s="19"/>
      <c r="I246" s="19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17" t="s">
        <v>44</v>
      </c>
      <c r="C247" s="17"/>
      <c r="D247" s="17"/>
      <c r="E247" s="17"/>
      <c r="F247" s="17"/>
      <c r="G247" s="114">
        <f>V13</f>
        <v>3</v>
      </c>
      <c r="H247" s="17"/>
      <c r="I247" s="17"/>
      <c r="J247" s="73"/>
      <c r="K247" s="73"/>
      <c r="L247" s="73"/>
      <c r="M247" s="73"/>
      <c r="N247" s="73"/>
      <c r="O247" s="73"/>
      <c r="P247" s="73"/>
      <c r="Q247" s="73"/>
    </row>
    <row r="248" spans="2:17" s="18" customFormat="1" x14ac:dyDescent="0.2">
      <c r="B248" s="9" t="s">
        <v>80</v>
      </c>
      <c r="C248" s="9"/>
      <c r="D248" s="9"/>
      <c r="E248" s="9"/>
      <c r="F248" s="9"/>
      <c r="G248" s="9"/>
      <c r="H248" s="9"/>
      <c r="I248" s="9"/>
      <c r="J248" s="51"/>
      <c r="K248" s="51"/>
      <c r="L248" s="51"/>
      <c r="M248" s="51"/>
      <c r="N248" s="51"/>
      <c r="O248" s="51"/>
      <c r="P248" s="51"/>
      <c r="Q248" s="51"/>
    </row>
    <row r="250" spans="2:17" s="63" customFormat="1" x14ac:dyDescent="0.2">
      <c r="B250" s="104" t="s">
        <v>156</v>
      </c>
      <c r="G250" s="115" t="s">
        <v>167</v>
      </c>
      <c r="H250" s="115" t="s">
        <v>68</v>
      </c>
    </row>
    <row r="251" spans="2:17" x14ac:dyDescent="0.2">
      <c r="B251" s="19" t="s">
        <v>21</v>
      </c>
      <c r="C251" s="19"/>
      <c r="D251" s="19"/>
      <c r="E251" s="19"/>
      <c r="F251" s="19"/>
      <c r="G251" s="116">
        <f>T22</f>
        <v>0.5</v>
      </c>
      <c r="H251" s="113">
        <f>R10</f>
        <v>5</v>
      </c>
      <c r="I251" s="19"/>
      <c r="J251" s="82"/>
      <c r="K251" s="82"/>
      <c r="L251" s="82"/>
      <c r="M251" s="82"/>
      <c r="N251" s="82"/>
      <c r="O251" s="82"/>
      <c r="P251" s="82"/>
      <c r="Q251" s="82"/>
    </row>
    <row r="252" spans="2:17" x14ac:dyDescent="0.2">
      <c r="B252" s="16" t="s">
        <v>20</v>
      </c>
      <c r="C252" s="16"/>
      <c r="D252" s="16"/>
      <c r="E252" s="16"/>
      <c r="F252" s="16"/>
      <c r="G252" s="117">
        <f>T23</f>
        <v>3.4375</v>
      </c>
      <c r="H252" s="118">
        <f>R11</f>
        <v>6</v>
      </c>
      <c r="I252" s="16"/>
      <c r="J252" s="72"/>
      <c r="K252" s="72"/>
      <c r="L252" s="72"/>
      <c r="M252" s="72"/>
      <c r="N252" s="72"/>
      <c r="O252" s="72"/>
      <c r="P252" s="72"/>
      <c r="Q252" s="72"/>
    </row>
    <row r="253" spans="2:17" x14ac:dyDescent="0.2">
      <c r="B253" s="16" t="s">
        <v>43</v>
      </c>
      <c r="C253" s="16"/>
      <c r="D253" s="16"/>
      <c r="E253" s="16"/>
      <c r="F253" s="16"/>
      <c r="G253" s="117">
        <f>T25</f>
        <v>4.5</v>
      </c>
      <c r="H253" s="118">
        <f>R12</f>
        <v>8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7" t="s">
        <v>44</v>
      </c>
      <c r="C254" s="17"/>
      <c r="D254" s="17"/>
      <c r="E254" s="17"/>
      <c r="F254" s="17"/>
      <c r="G254" s="119">
        <f>T27</f>
        <v>2.5</v>
      </c>
      <c r="H254" s="114">
        <f>R13</f>
        <v>10</v>
      </c>
      <c r="I254" s="17"/>
      <c r="J254" s="73"/>
      <c r="K254" s="73"/>
      <c r="L254" s="73"/>
      <c r="M254" s="73"/>
      <c r="N254" s="73"/>
      <c r="O254" s="73"/>
      <c r="P254" s="73"/>
      <c r="Q254" s="73"/>
    </row>
    <row r="255" spans="2:17" s="18" customFormat="1" x14ac:dyDescent="0.2">
      <c r="B255" s="9" t="s">
        <v>80</v>
      </c>
      <c r="C255" s="9"/>
      <c r="D255" s="9"/>
      <c r="E255" s="9"/>
      <c r="F255" s="9"/>
      <c r="G255" s="9"/>
      <c r="H255" s="9"/>
      <c r="I255" s="9"/>
      <c r="J255" s="51"/>
      <c r="K255" s="51"/>
      <c r="L255" s="51"/>
      <c r="M255" s="51"/>
      <c r="N255" s="51"/>
      <c r="O255" s="51"/>
      <c r="P255" s="51"/>
      <c r="Q255" s="51"/>
    </row>
    <row r="257" spans="1:24" x14ac:dyDescent="0.2">
      <c r="B257" s="22" t="s">
        <v>158</v>
      </c>
    </row>
    <row r="258" spans="1:24" x14ac:dyDescent="0.2">
      <c r="B258" s="19" t="s">
        <v>1</v>
      </c>
      <c r="C258" s="19"/>
      <c r="D258" s="19"/>
      <c r="E258" s="19"/>
      <c r="F258" s="19"/>
      <c r="G258" s="19"/>
      <c r="H258" s="19"/>
      <c r="I258" s="19"/>
      <c r="J258" s="82"/>
      <c r="K258" s="82"/>
      <c r="L258" s="82"/>
      <c r="M258" s="82"/>
      <c r="N258" s="82"/>
      <c r="O258" s="82"/>
      <c r="P258" s="82"/>
      <c r="Q258" s="82"/>
    </row>
    <row r="259" spans="1:24" x14ac:dyDescent="0.2">
      <c r="B259" s="20" t="s">
        <v>157</v>
      </c>
      <c r="J259" s="50"/>
      <c r="K259" s="50"/>
      <c r="L259" s="50"/>
      <c r="M259" s="50"/>
      <c r="N259" s="50"/>
      <c r="O259" s="50"/>
      <c r="P259" s="50"/>
      <c r="Q259" s="50"/>
    </row>
    <row r="260" spans="1:24" s="18" customFormat="1" x14ac:dyDescent="0.2">
      <c r="B260" s="9" t="s">
        <v>24</v>
      </c>
      <c r="C260" s="9"/>
      <c r="D260" s="9"/>
      <c r="E260" s="9"/>
      <c r="F260" s="9"/>
      <c r="G260" s="9"/>
      <c r="H260" s="9"/>
      <c r="I260" s="9"/>
      <c r="J260" s="51"/>
      <c r="K260" s="51"/>
      <c r="L260" s="51"/>
      <c r="M260" s="51"/>
      <c r="N260" s="51"/>
      <c r="O260" s="51"/>
      <c r="P260" s="51"/>
      <c r="Q260" s="51"/>
    </row>
    <row r="261" spans="1:24" x14ac:dyDescent="0.2">
      <c r="B261" s="20" t="s">
        <v>159</v>
      </c>
      <c r="J261" s="50"/>
      <c r="K261" s="50"/>
      <c r="L261" s="50"/>
      <c r="M261" s="50"/>
      <c r="N261" s="50"/>
      <c r="O261" s="50"/>
      <c r="P261" s="50"/>
      <c r="Q261" s="50"/>
    </row>
    <row r="262" spans="1:24" s="18" customFormat="1" x14ac:dyDescent="0.2">
      <c r="B262" s="9" t="s">
        <v>158</v>
      </c>
      <c r="C262" s="9"/>
      <c r="D262" s="9"/>
      <c r="E262" s="9"/>
      <c r="F262" s="9"/>
      <c r="G262" s="9"/>
      <c r="H262" s="9"/>
      <c r="I262" s="9"/>
      <c r="J262" s="51"/>
      <c r="K262" s="51"/>
      <c r="L262" s="51"/>
      <c r="M262" s="51"/>
      <c r="N262" s="51"/>
      <c r="O262" s="51"/>
      <c r="P262" s="51"/>
      <c r="Q262" s="51"/>
    </row>
    <row r="264" spans="1:24" x14ac:dyDescent="0.2">
      <c r="B264" s="22" t="s">
        <v>160</v>
      </c>
    </row>
    <row r="265" spans="1:24" x14ac:dyDescent="0.2">
      <c r="B265" s="19" t="s">
        <v>155</v>
      </c>
      <c r="C265" s="19"/>
      <c r="D265" s="19"/>
      <c r="E265" s="19"/>
      <c r="F265" s="19"/>
      <c r="G265" s="19"/>
      <c r="H265" s="19"/>
      <c r="I265" s="19"/>
      <c r="J265" s="82"/>
      <c r="K265" s="82"/>
      <c r="L265" s="82"/>
      <c r="M265" s="82"/>
      <c r="N265" s="82"/>
      <c r="O265" s="82"/>
      <c r="P265" s="82"/>
      <c r="Q265" s="82"/>
    </row>
    <row r="266" spans="1:24" x14ac:dyDescent="0.2">
      <c r="B266" s="20" t="s">
        <v>157</v>
      </c>
      <c r="J266" s="50"/>
      <c r="K266" s="50"/>
      <c r="L266" s="50"/>
      <c r="M266" s="50"/>
      <c r="N266" s="50"/>
      <c r="O266" s="50"/>
      <c r="P266" s="50"/>
      <c r="Q266" s="50"/>
    </row>
    <row r="267" spans="1:24" x14ac:dyDescent="0.2">
      <c r="B267" s="9" t="s">
        <v>161</v>
      </c>
      <c r="C267" s="9"/>
      <c r="D267" s="9"/>
      <c r="E267" s="9"/>
      <c r="F267" s="9"/>
      <c r="G267" s="9"/>
      <c r="H267" s="9"/>
      <c r="I267" s="9"/>
      <c r="J267" s="51"/>
      <c r="K267" s="51"/>
      <c r="L267" s="51"/>
      <c r="M267" s="51"/>
      <c r="N267" s="51"/>
      <c r="O267" s="51"/>
      <c r="P267" s="51"/>
      <c r="Q267" s="51"/>
    </row>
    <row r="271" spans="1:24" x14ac:dyDescent="0.2">
      <c r="A271" s="5" t="s">
        <v>35</v>
      </c>
      <c r="B271" s="6" t="s">
        <v>162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x14ac:dyDescent="0.2">
      <c r="B272" s="8" t="s">
        <v>37</v>
      </c>
    </row>
    <row r="274" spans="2:17" x14ac:dyDescent="0.2">
      <c r="B274" s="8" t="s">
        <v>88</v>
      </c>
      <c r="I274" s="140">
        <f>I$115</f>
        <v>42735</v>
      </c>
      <c r="J274" s="54">
        <f t="shared" ref="J274:Q274" si="47">J$115</f>
        <v>43100</v>
      </c>
      <c r="K274" s="54">
        <f t="shared" si="47"/>
        <v>43465</v>
      </c>
      <c r="L274" s="54">
        <f t="shared" si="47"/>
        <v>43830</v>
      </c>
      <c r="M274" s="54">
        <f t="shared" si="47"/>
        <v>44196</v>
      </c>
      <c r="N274" s="54">
        <f t="shared" si="47"/>
        <v>44561</v>
      </c>
      <c r="O274" s="54">
        <f t="shared" si="47"/>
        <v>44926</v>
      </c>
      <c r="P274" s="54">
        <f t="shared" si="47"/>
        <v>45291</v>
      </c>
      <c r="Q274" s="54">
        <f t="shared" si="47"/>
        <v>45657</v>
      </c>
    </row>
    <row r="275" spans="2:17" ht="3" customHeight="1" x14ac:dyDescent="0.2"/>
    <row r="277" spans="2:17" x14ac:dyDescent="0.2">
      <c r="B277" s="22" t="s">
        <v>171</v>
      </c>
    </row>
    <row r="278" spans="2:17" x14ac:dyDescent="0.2">
      <c r="B278" s="19" t="s">
        <v>77</v>
      </c>
      <c r="C278" s="19"/>
      <c r="D278" s="19"/>
      <c r="E278" s="19"/>
      <c r="F278" s="19"/>
      <c r="G278" s="19"/>
      <c r="H278" s="19"/>
      <c r="I278" s="82"/>
      <c r="J278" s="82"/>
      <c r="K278" s="82"/>
      <c r="L278" s="82"/>
      <c r="M278" s="82"/>
      <c r="N278" s="82"/>
      <c r="O278" s="82"/>
      <c r="P278" s="82"/>
      <c r="Q278" s="82"/>
    </row>
    <row r="279" spans="2:17" x14ac:dyDescent="0.2">
      <c r="B279" s="16" t="s">
        <v>78</v>
      </c>
      <c r="C279" s="16"/>
      <c r="D279" s="16"/>
      <c r="E279" s="16"/>
      <c r="F279" s="16"/>
      <c r="G279" s="16"/>
      <c r="H279" s="16"/>
      <c r="I279" s="72"/>
      <c r="J279" s="72"/>
      <c r="K279" s="72"/>
      <c r="L279" s="72"/>
      <c r="M279" s="72"/>
      <c r="N279" s="72"/>
      <c r="O279" s="72"/>
      <c r="P279" s="72"/>
      <c r="Q279" s="72"/>
    </row>
    <row r="280" spans="2:17" x14ac:dyDescent="0.2">
      <c r="B280" s="17" t="s">
        <v>33</v>
      </c>
      <c r="C280" s="17"/>
      <c r="D280" s="17"/>
      <c r="E280" s="17"/>
      <c r="F280" s="17"/>
      <c r="G280" s="17"/>
      <c r="H280" s="17"/>
      <c r="I280" s="73"/>
      <c r="J280" s="73"/>
      <c r="K280" s="73"/>
      <c r="L280" s="73"/>
      <c r="M280" s="73"/>
      <c r="N280" s="73"/>
      <c r="O280" s="73"/>
      <c r="P280" s="73"/>
      <c r="Q280" s="73"/>
    </row>
    <row r="282" spans="2:17" x14ac:dyDescent="0.2">
      <c r="B282" s="22" t="s">
        <v>172</v>
      </c>
    </row>
    <row r="283" spans="2:17" x14ac:dyDescent="0.2">
      <c r="B283" s="19" t="s">
        <v>90</v>
      </c>
      <c r="C283" s="19"/>
      <c r="D283" s="19"/>
      <c r="E283" s="19"/>
      <c r="F283" s="19"/>
      <c r="G283" s="19"/>
      <c r="H283" s="19"/>
      <c r="I283" s="82"/>
      <c r="J283" s="82"/>
      <c r="K283" s="82"/>
      <c r="L283" s="82"/>
      <c r="M283" s="82"/>
      <c r="N283" s="82"/>
      <c r="O283" s="82"/>
      <c r="P283" s="82"/>
      <c r="Q283" s="82"/>
    </row>
    <row r="284" spans="2:17" x14ac:dyDescent="0.2">
      <c r="B284" s="16" t="s">
        <v>169</v>
      </c>
      <c r="C284" s="16"/>
      <c r="D284" s="16"/>
      <c r="E284" s="16"/>
      <c r="F284" s="16"/>
      <c r="G284" s="16"/>
      <c r="H284" s="16"/>
      <c r="I284" s="16"/>
      <c r="J284" s="72"/>
      <c r="K284" s="72"/>
      <c r="L284" s="72"/>
      <c r="M284" s="72"/>
      <c r="N284" s="72"/>
      <c r="O284" s="72"/>
      <c r="P284" s="72"/>
      <c r="Q284" s="72"/>
    </row>
    <row r="285" spans="2:17" x14ac:dyDescent="0.2">
      <c r="B285" s="17" t="s">
        <v>170</v>
      </c>
      <c r="C285" s="17"/>
      <c r="D285" s="17"/>
      <c r="E285" s="17"/>
      <c r="F285" s="17"/>
      <c r="G285" s="17"/>
      <c r="H285" s="17"/>
      <c r="I285" s="17"/>
      <c r="J285" s="73"/>
      <c r="K285" s="73"/>
      <c r="L285" s="73"/>
      <c r="M285" s="73"/>
      <c r="N285" s="73"/>
      <c r="O285" s="73"/>
      <c r="P285" s="73"/>
      <c r="Q285" s="73"/>
    </row>
    <row r="287" spans="2:17" x14ac:dyDescent="0.2">
      <c r="B287" s="22" t="s">
        <v>13</v>
      </c>
    </row>
    <row r="288" spans="2:17" x14ac:dyDescent="0.2">
      <c r="B288" s="19" t="s">
        <v>174</v>
      </c>
      <c r="C288" s="19"/>
      <c r="D288" s="19"/>
      <c r="E288" s="19"/>
      <c r="F288" s="19"/>
      <c r="G288" s="19"/>
      <c r="H288" s="19"/>
      <c r="I288" s="122"/>
      <c r="J288" s="122"/>
      <c r="K288" s="122"/>
      <c r="L288" s="122"/>
      <c r="M288" s="122"/>
      <c r="N288" s="122"/>
      <c r="O288" s="122"/>
      <c r="P288" s="122"/>
      <c r="Q288" s="122"/>
    </row>
    <row r="289" spans="1:24" x14ac:dyDescent="0.2">
      <c r="B289" s="16" t="s">
        <v>175</v>
      </c>
      <c r="C289" s="16"/>
      <c r="D289" s="16"/>
      <c r="E289" s="16"/>
      <c r="F289" s="16"/>
      <c r="G289" s="16"/>
      <c r="H289" s="16"/>
      <c r="I289" s="123"/>
      <c r="J289" s="123"/>
      <c r="K289" s="123"/>
      <c r="L289" s="123"/>
      <c r="M289" s="123"/>
      <c r="N289" s="123"/>
      <c r="O289" s="123"/>
      <c r="P289" s="123"/>
      <c r="Q289" s="123"/>
    </row>
    <row r="290" spans="1:24" x14ac:dyDescent="0.2">
      <c r="B290" s="17" t="s">
        <v>173</v>
      </c>
      <c r="C290" s="17"/>
      <c r="D290" s="17"/>
      <c r="E290" s="17"/>
      <c r="F290" s="17"/>
      <c r="G290" s="17"/>
      <c r="H290" s="17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2" spans="1:24" x14ac:dyDescent="0.2">
      <c r="B292" s="22" t="s">
        <v>14</v>
      </c>
    </row>
    <row r="293" spans="1:24" x14ac:dyDescent="0.2">
      <c r="B293" s="19" t="s">
        <v>176</v>
      </c>
      <c r="C293" s="19"/>
      <c r="D293" s="19"/>
      <c r="E293" s="19"/>
      <c r="F293" s="19"/>
      <c r="G293" s="19"/>
      <c r="H293" s="19"/>
      <c r="I293" s="19"/>
      <c r="J293" s="122"/>
      <c r="K293" s="122"/>
      <c r="L293" s="122"/>
      <c r="M293" s="122"/>
      <c r="N293" s="122"/>
      <c r="O293" s="122"/>
      <c r="P293" s="122"/>
      <c r="Q293" s="122"/>
    </row>
    <row r="294" spans="1:24" x14ac:dyDescent="0.2">
      <c r="B294" s="3" t="s">
        <v>177</v>
      </c>
      <c r="J294" s="124"/>
      <c r="K294" s="124"/>
      <c r="L294" s="124"/>
      <c r="M294" s="124"/>
      <c r="N294" s="124"/>
      <c r="O294" s="124"/>
      <c r="P294" s="124"/>
      <c r="Q294" s="124"/>
    </row>
    <row r="295" spans="1:24" s="63" customFormat="1" x14ac:dyDescent="0.2"/>
    <row r="299" spans="1:24" x14ac:dyDescent="0.2">
      <c r="A299" s="5" t="s">
        <v>35</v>
      </c>
      <c r="B299" s="6" t="s">
        <v>163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x14ac:dyDescent="0.2">
      <c r="B300" s="8" t="s">
        <v>37</v>
      </c>
    </row>
    <row r="302" spans="1:24" x14ac:dyDescent="0.2">
      <c r="B302" s="8" t="s">
        <v>88</v>
      </c>
      <c r="I302" s="140">
        <f t="shared" ref="I302" si="48">I$115</f>
        <v>42735</v>
      </c>
      <c r="J302" s="54">
        <f t="shared" ref="J302:Q302" si="49">J$115</f>
        <v>43100</v>
      </c>
      <c r="K302" s="54">
        <f t="shared" si="49"/>
        <v>43465</v>
      </c>
      <c r="L302" s="54">
        <f t="shared" si="49"/>
        <v>43830</v>
      </c>
      <c r="M302" s="54">
        <f t="shared" si="49"/>
        <v>44196</v>
      </c>
      <c r="N302" s="54">
        <f t="shared" si="49"/>
        <v>44561</v>
      </c>
      <c r="O302" s="54">
        <f t="shared" si="49"/>
        <v>44926</v>
      </c>
      <c r="P302" s="54">
        <f t="shared" si="49"/>
        <v>45291</v>
      </c>
      <c r="Q302" s="54">
        <f t="shared" si="49"/>
        <v>45657</v>
      </c>
    </row>
    <row r="303" spans="1:24" ht="3" customHeight="1" x14ac:dyDescent="0.2"/>
    <row r="305" spans="2:17" x14ac:dyDescent="0.2">
      <c r="B305" s="125" t="s">
        <v>53</v>
      </c>
      <c r="C305" s="125"/>
      <c r="D305" s="125"/>
      <c r="E305" s="125"/>
      <c r="F305" s="125"/>
      <c r="G305" s="125"/>
      <c r="H305" s="125"/>
      <c r="I305" s="125"/>
      <c r="J305" s="126"/>
      <c r="K305" s="126"/>
      <c r="L305" s="126"/>
      <c r="M305" s="126"/>
      <c r="N305" s="126"/>
      <c r="O305" s="126"/>
      <c r="P305" s="126"/>
      <c r="Q305" s="126"/>
    </row>
    <row r="307" spans="2:17" x14ac:dyDescent="0.2">
      <c r="B307" s="19" t="s">
        <v>33</v>
      </c>
      <c r="C307" s="19"/>
      <c r="D307" s="19"/>
      <c r="E307" s="19"/>
      <c r="F307" s="19"/>
      <c r="G307" s="19"/>
      <c r="H307" s="19"/>
      <c r="I307" s="19"/>
      <c r="J307" s="82"/>
      <c r="K307" s="82"/>
      <c r="L307" s="82"/>
      <c r="M307" s="82"/>
      <c r="N307" s="82"/>
      <c r="O307" s="82"/>
      <c r="P307" s="82"/>
      <c r="Q307" s="82"/>
    </row>
    <row r="308" spans="2:17" x14ac:dyDescent="0.2">
      <c r="B308" s="20" t="s">
        <v>178</v>
      </c>
      <c r="J308" s="50"/>
      <c r="K308" s="50"/>
      <c r="L308" s="50"/>
      <c r="M308" s="50"/>
      <c r="N308" s="50"/>
      <c r="O308" s="50"/>
      <c r="P308" s="50"/>
      <c r="Q308" s="50"/>
    </row>
    <row r="309" spans="2:17" x14ac:dyDescent="0.2">
      <c r="B309" s="9" t="s">
        <v>23</v>
      </c>
      <c r="C309" s="14"/>
      <c r="D309" s="14"/>
      <c r="E309" s="14"/>
      <c r="F309" s="14"/>
      <c r="G309" s="14"/>
      <c r="H309" s="14"/>
      <c r="I309" s="14"/>
      <c r="J309" s="51"/>
      <c r="K309" s="51"/>
      <c r="L309" s="51"/>
      <c r="M309" s="51"/>
      <c r="N309" s="51"/>
      <c r="O309" s="51"/>
      <c r="P309" s="51"/>
      <c r="Q309" s="51"/>
    </row>
    <row r="312" spans="2:17" x14ac:dyDescent="0.2">
      <c r="B312" s="22" t="s">
        <v>18</v>
      </c>
    </row>
    <row r="313" spans="2:17" x14ac:dyDescent="0.2">
      <c r="B313" s="8" t="s">
        <v>179</v>
      </c>
    </row>
    <row r="315" spans="2:17" x14ac:dyDescent="0.2">
      <c r="E315" s="127">
        <f>E316-0.5</f>
        <v>7</v>
      </c>
      <c r="F315" s="19"/>
      <c r="G315" s="19"/>
      <c r="H315" s="19"/>
      <c r="I315" s="19"/>
      <c r="J315" s="82"/>
      <c r="K315" s="82"/>
      <c r="L315" s="82"/>
      <c r="M315" s="82"/>
      <c r="N315" s="82"/>
      <c r="O315" s="82"/>
      <c r="P315" s="82"/>
      <c r="Q315" s="82"/>
    </row>
    <row r="316" spans="2:17" x14ac:dyDescent="0.2">
      <c r="E316" s="127">
        <f>E317-0.5</f>
        <v>7.5</v>
      </c>
      <c r="F316" s="16"/>
      <c r="G316" s="16"/>
      <c r="H316" s="16"/>
      <c r="I316" s="16"/>
      <c r="J316" s="72"/>
      <c r="K316" s="72"/>
      <c r="L316" s="72"/>
      <c r="M316" s="72"/>
      <c r="N316" s="72"/>
      <c r="O316" s="72"/>
      <c r="P316" s="72"/>
      <c r="Q316" s="72"/>
    </row>
    <row r="317" spans="2:17" x14ac:dyDescent="0.2">
      <c r="E317" s="127">
        <f>E318-0.5</f>
        <v>8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MROUND(E319,0.5)-0.5</f>
        <v>8.5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8">
        <f>$M$10</f>
        <v>9</v>
      </c>
      <c r="F319" s="129"/>
      <c r="G319" s="129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</row>
    <row r="320" spans="2:17" x14ac:dyDescent="0.2">
      <c r="E320" s="127">
        <f>MROUND(E319,0.5)+0.5</f>
        <v>9.5</v>
      </c>
      <c r="F320" s="16"/>
      <c r="G320" s="16"/>
      <c r="H320" s="16"/>
      <c r="I320" s="16"/>
      <c r="J320" s="72"/>
      <c r="K320" s="72"/>
      <c r="L320" s="72"/>
      <c r="M320" s="72"/>
      <c r="N320" s="72"/>
      <c r="O320" s="72"/>
      <c r="P320" s="72"/>
      <c r="Q320" s="72"/>
    </row>
    <row r="321" spans="2:17" x14ac:dyDescent="0.2">
      <c r="E321" s="127">
        <f>E320+0.5</f>
        <v>10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10.5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11</v>
      </c>
      <c r="F323" s="17"/>
      <c r="G323" s="17"/>
      <c r="H323" s="17"/>
      <c r="I323" s="17"/>
      <c r="J323" s="73"/>
      <c r="K323" s="73"/>
      <c r="L323" s="73"/>
      <c r="M323" s="73"/>
      <c r="N323" s="73"/>
      <c r="O323" s="73"/>
      <c r="P323" s="73"/>
      <c r="Q323" s="73"/>
    </row>
    <row r="326" spans="2:17" x14ac:dyDescent="0.2">
      <c r="B326" s="22" t="s">
        <v>62</v>
      </c>
    </row>
    <row r="327" spans="2:17" x14ac:dyDescent="0.2">
      <c r="B327" s="8" t="s">
        <v>179</v>
      </c>
    </row>
    <row r="329" spans="2:17" x14ac:dyDescent="0.2">
      <c r="E329" s="127">
        <f t="array" ref="E329:E337">$E$315:$E$323</f>
        <v>7</v>
      </c>
      <c r="F329" s="19"/>
      <c r="G329" s="19"/>
      <c r="H329" s="19"/>
      <c r="I329" s="19"/>
      <c r="J329" s="82"/>
      <c r="K329" s="82"/>
      <c r="L329" s="82"/>
      <c r="M329" s="82"/>
      <c r="N329" s="82"/>
      <c r="O329" s="82"/>
      <c r="P329" s="82"/>
      <c r="Q329" s="82"/>
    </row>
    <row r="330" spans="2:17" x14ac:dyDescent="0.2">
      <c r="E330" s="127">
        <v>7.5</v>
      </c>
      <c r="F330" s="16"/>
      <c r="G330" s="16"/>
      <c r="H330" s="16"/>
      <c r="I330" s="16"/>
      <c r="J330" s="72"/>
      <c r="K330" s="72"/>
      <c r="L330" s="72"/>
      <c r="M330" s="72"/>
      <c r="N330" s="72"/>
      <c r="O330" s="72"/>
      <c r="P330" s="72"/>
      <c r="Q330" s="72"/>
    </row>
    <row r="331" spans="2:17" x14ac:dyDescent="0.2">
      <c r="E331" s="127">
        <v>8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8.5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8">
        <v>9</v>
      </c>
      <c r="F333" s="129"/>
      <c r="G333" s="129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</row>
    <row r="334" spans="2:17" x14ac:dyDescent="0.2">
      <c r="E334" s="127">
        <v>9.5</v>
      </c>
      <c r="F334" s="16"/>
      <c r="G334" s="16"/>
      <c r="H334" s="16"/>
      <c r="I334" s="16"/>
      <c r="J334" s="72"/>
      <c r="K334" s="72"/>
      <c r="L334" s="72"/>
      <c r="M334" s="72"/>
      <c r="N334" s="72"/>
      <c r="O334" s="72"/>
      <c r="P334" s="72"/>
      <c r="Q334" s="72"/>
    </row>
    <row r="335" spans="2:17" x14ac:dyDescent="0.2">
      <c r="E335" s="127">
        <v>10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10.5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11</v>
      </c>
      <c r="F337" s="17"/>
      <c r="G337" s="17"/>
      <c r="H337" s="17"/>
      <c r="I337" s="17"/>
      <c r="J337" s="73"/>
      <c r="K337" s="73"/>
      <c r="L337" s="73"/>
      <c r="M337" s="73"/>
      <c r="N337" s="73"/>
      <c r="O337" s="73"/>
      <c r="P337" s="73"/>
      <c r="Q337" s="73"/>
    </row>
    <row r="340" spans="2:17" x14ac:dyDescent="0.2">
      <c r="B340" s="22" t="s">
        <v>180</v>
      </c>
      <c r="H340" s="25" t="s">
        <v>181</v>
      </c>
    </row>
    <row r="341" spans="2:17" x14ac:dyDescent="0.2">
      <c r="B341" s="8" t="s">
        <v>179</v>
      </c>
      <c r="H341" s="131"/>
    </row>
    <row r="343" spans="2:17" x14ac:dyDescent="0.2">
      <c r="E343" s="127">
        <f t="array" ref="E343:E351">$E$315:$E$323</f>
        <v>7</v>
      </c>
      <c r="F343" s="19"/>
      <c r="G343" s="19"/>
      <c r="H343" s="19"/>
      <c r="I343" s="19"/>
      <c r="J343" s="135"/>
      <c r="K343" s="135"/>
      <c r="L343" s="135"/>
      <c r="M343" s="135"/>
      <c r="N343" s="135"/>
      <c r="O343" s="135"/>
      <c r="P343" s="135"/>
      <c r="Q343" s="135"/>
    </row>
    <row r="344" spans="2:17" x14ac:dyDescent="0.2">
      <c r="E344" s="127">
        <v>7.5</v>
      </c>
      <c r="F344" s="16"/>
      <c r="G344" s="16"/>
      <c r="H344" s="16"/>
      <c r="I344" s="16"/>
      <c r="J344" s="132"/>
      <c r="K344" s="132"/>
      <c r="L344" s="132"/>
      <c r="M344" s="132"/>
      <c r="N344" s="132"/>
      <c r="O344" s="132"/>
      <c r="P344" s="132"/>
      <c r="Q344" s="132"/>
    </row>
    <row r="345" spans="2:17" x14ac:dyDescent="0.2">
      <c r="E345" s="127">
        <v>8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8.5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8">
        <v>9</v>
      </c>
      <c r="F347" s="129"/>
      <c r="G347" s="129"/>
      <c r="H347" s="129"/>
      <c r="I347" s="129"/>
      <c r="J347" s="133"/>
      <c r="K347" s="133"/>
      <c r="L347" s="133"/>
      <c r="M347" s="133"/>
      <c r="N347" s="133"/>
      <c r="O347" s="133"/>
      <c r="P347" s="133"/>
      <c r="Q347" s="133"/>
    </row>
    <row r="348" spans="2:17" x14ac:dyDescent="0.2">
      <c r="E348" s="127">
        <v>9.5</v>
      </c>
      <c r="F348" s="16"/>
      <c r="G348" s="16"/>
      <c r="H348" s="16"/>
      <c r="I348" s="16"/>
      <c r="J348" s="132"/>
      <c r="K348" s="132"/>
      <c r="L348" s="132"/>
      <c r="M348" s="132"/>
      <c r="N348" s="132"/>
      <c r="O348" s="132"/>
      <c r="P348" s="132"/>
      <c r="Q348" s="132"/>
    </row>
    <row r="349" spans="2:17" x14ac:dyDescent="0.2">
      <c r="E349" s="127">
        <v>10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10.5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11</v>
      </c>
      <c r="F351" s="17"/>
      <c r="G351" s="17"/>
      <c r="H351" s="17"/>
      <c r="I351" s="17"/>
      <c r="J351" s="134"/>
      <c r="K351" s="134"/>
      <c r="L351" s="134"/>
      <c r="M351" s="134"/>
      <c r="N351" s="134"/>
      <c r="O351" s="134"/>
      <c r="P351" s="134"/>
      <c r="Q351" s="134"/>
    </row>
    <row r="354" spans="2:17" x14ac:dyDescent="0.2">
      <c r="B354" s="22" t="s">
        <v>5</v>
      </c>
    </row>
    <row r="355" spans="2:17" x14ac:dyDescent="0.2">
      <c r="B355" s="8" t="s">
        <v>179</v>
      </c>
    </row>
    <row r="357" spans="2:17" x14ac:dyDescent="0.2">
      <c r="E357" s="127">
        <f t="array" ref="E357:E365">$E$315:$E$323</f>
        <v>7</v>
      </c>
      <c r="F357" s="19"/>
      <c r="G357" s="19"/>
      <c r="H357" s="19"/>
      <c r="I357" s="19"/>
      <c r="J357" s="61"/>
      <c r="K357" s="61"/>
      <c r="L357" s="61"/>
      <c r="M357" s="61"/>
      <c r="N357" s="61"/>
      <c r="O357" s="61"/>
      <c r="P357" s="61"/>
      <c r="Q357" s="61"/>
    </row>
    <row r="358" spans="2:17" x14ac:dyDescent="0.2">
      <c r="E358" s="127">
        <v>7.5</v>
      </c>
      <c r="F358" s="16"/>
      <c r="G358" s="16"/>
      <c r="H358" s="16"/>
      <c r="I358" s="16"/>
      <c r="J358" s="62"/>
      <c r="K358" s="62"/>
      <c r="L358" s="62"/>
      <c r="M358" s="62"/>
      <c r="N358" s="62"/>
      <c r="O358" s="62"/>
      <c r="P358" s="62"/>
      <c r="Q358" s="62"/>
    </row>
    <row r="359" spans="2:17" x14ac:dyDescent="0.2">
      <c r="E359" s="127">
        <v>8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8.5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8">
        <v>9</v>
      </c>
      <c r="F361" s="129"/>
      <c r="G361" s="129"/>
      <c r="H361" s="129"/>
      <c r="I361" s="129"/>
      <c r="J361" s="136"/>
      <c r="K361" s="136"/>
      <c r="L361" s="136"/>
      <c r="M361" s="136"/>
      <c r="N361" s="136"/>
      <c r="O361" s="136"/>
      <c r="P361" s="136"/>
      <c r="Q361" s="136"/>
    </row>
    <row r="362" spans="2:17" x14ac:dyDescent="0.2">
      <c r="E362" s="127">
        <v>9.5</v>
      </c>
      <c r="F362" s="16"/>
      <c r="G362" s="16"/>
      <c r="H362" s="16"/>
      <c r="I362" s="16"/>
      <c r="J362" s="62"/>
      <c r="K362" s="62"/>
      <c r="L362" s="62"/>
      <c r="M362" s="62"/>
      <c r="N362" s="62"/>
      <c r="O362" s="62"/>
      <c r="P362" s="62"/>
      <c r="Q362" s="62"/>
    </row>
    <row r="363" spans="2:17" x14ac:dyDescent="0.2">
      <c r="E363" s="127">
        <v>10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10.5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11</v>
      </c>
      <c r="F365" s="17"/>
      <c r="G365" s="17"/>
      <c r="H365" s="17"/>
      <c r="I365" s="17"/>
      <c r="J365" s="76"/>
      <c r="K365" s="76"/>
      <c r="L365" s="76"/>
      <c r="M365" s="76"/>
      <c r="N365" s="76"/>
      <c r="O365" s="76"/>
      <c r="P365" s="76"/>
      <c r="Q365" s="7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2335-BB8E-4210-BE7D-F274A506417F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192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>J59+J55</f>
        <v>76.650000000000006</v>
      </c>
      <c r="K60" s="51">
        <f t="shared" ref="K60:Q60" si="12">K59+K55</f>
        <v>81.248999999999995</v>
      </c>
      <c r="L60" s="51">
        <f t="shared" si="12"/>
        <v>86.936430000000016</v>
      </c>
      <c r="M60" s="51">
        <f t="shared" si="12"/>
        <v>92.152615800000007</v>
      </c>
      <c r="N60" s="51">
        <f t="shared" si="12"/>
        <v>96.760246590000008</v>
      </c>
      <c r="O60" s="51">
        <f t="shared" si="12"/>
        <v>100.63065645360001</v>
      </c>
      <c r="P60" s="51">
        <f t="shared" si="12"/>
        <v>104.655882711744</v>
      </c>
      <c r="Q60" s="51">
        <f t="shared" si="12"/>
        <v>108.84211802021377</v>
      </c>
    </row>
    <row r="61" spans="2:17" x14ac:dyDescent="0.2">
      <c r="B61" s="20"/>
    </row>
    <row r="62" spans="2:17" x14ac:dyDescent="0.2">
      <c r="B62" s="20" t="s">
        <v>96</v>
      </c>
      <c r="J62" s="49">
        <f>-J60*$H$36</f>
        <v>-26.827500000000001</v>
      </c>
      <c r="K62" s="49">
        <f t="shared" ref="K62:Q62" si="13">-K60*$H$36</f>
        <v>-28.437149999999995</v>
      </c>
      <c r="L62" s="49">
        <f t="shared" si="13"/>
        <v>-30.427750500000002</v>
      </c>
      <c r="M62" s="49">
        <f t="shared" si="13"/>
        <v>-32.253415529999998</v>
      </c>
      <c r="N62" s="49">
        <f t="shared" si="13"/>
        <v>-33.866086306500002</v>
      </c>
      <c r="O62" s="49">
        <f t="shared" si="13"/>
        <v>-35.220729758760001</v>
      </c>
      <c r="P62" s="49">
        <f t="shared" si="13"/>
        <v>-36.629558949110397</v>
      </c>
      <c r="Q62" s="49">
        <f t="shared" si="13"/>
        <v>-38.09474130707482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>J62+J60</f>
        <v>49.822500000000005</v>
      </c>
      <c r="K63" s="51">
        <f t="shared" ref="K63:Q63" si="14">K62+K60</f>
        <v>52.81185</v>
      </c>
      <c r="L63" s="51">
        <f t="shared" si="14"/>
        <v>56.508679500000014</v>
      </c>
      <c r="M63" s="51">
        <f t="shared" si="14"/>
        <v>59.899200270000009</v>
      </c>
      <c r="N63" s="51">
        <f t="shared" si="14"/>
        <v>62.894160283500007</v>
      </c>
      <c r="O63" s="51">
        <f t="shared" si="14"/>
        <v>65.40992669484001</v>
      </c>
      <c r="P63" s="51">
        <f t="shared" si="14"/>
        <v>68.026323762633609</v>
      </c>
      <c r="Q63" s="51">
        <f t="shared" si="14"/>
        <v>70.747376713138948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15">IFERROR(J63/J$47,0)</f>
        <v>0.13874269005847953</v>
      </c>
      <c r="K64" s="59">
        <f t="shared" si="15"/>
        <v>0.13874269005847953</v>
      </c>
      <c r="L64" s="59">
        <f t="shared" si="15"/>
        <v>0.13874269005847956</v>
      </c>
      <c r="M64" s="59">
        <f t="shared" si="15"/>
        <v>0.13874269005847953</v>
      </c>
      <c r="N64" s="59">
        <f t="shared" si="15"/>
        <v>0.13874269005847953</v>
      </c>
      <c r="O64" s="59">
        <f t="shared" si="15"/>
        <v>0.13874269005847953</v>
      </c>
      <c r="P64" s="59">
        <f t="shared" si="15"/>
        <v>0.13874269005847953</v>
      </c>
      <c r="Q64" s="59">
        <f t="shared" si="15"/>
        <v>0.13874269005847953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16">IFERROR(J63/I63-1,0)</f>
        <v>0</v>
      </c>
      <c r="K65" s="57">
        <f t="shared" si="16"/>
        <v>5.9999999999999831E-2</v>
      </c>
      <c r="L65" s="57">
        <f t="shared" si="16"/>
        <v>7.0000000000000284E-2</v>
      </c>
      <c r="M65" s="57">
        <f t="shared" si="16"/>
        <v>5.9999999999999831E-2</v>
      </c>
      <c r="N65" s="57">
        <f t="shared" si="16"/>
        <v>5.0000000000000044E-2</v>
      </c>
      <c r="O65" s="57">
        <f t="shared" si="16"/>
        <v>4.0000000000000036E-2</v>
      </c>
      <c r="P65" s="57">
        <f t="shared" si="16"/>
        <v>4.0000000000000036E-2</v>
      </c>
      <c r="Q65" s="57">
        <f t="shared" si="16"/>
        <v>3.9999999999999813E-2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7">O69</f>
        <v>0.04</v>
      </c>
      <c r="Q69" s="61">
        <f t="shared" si="17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8">J70</f>
        <v>0.4</v>
      </c>
      <c r="L70" s="61">
        <f t="shared" si="18"/>
        <v>0.4</v>
      </c>
      <c r="M70" s="61">
        <f t="shared" si="18"/>
        <v>0.4</v>
      </c>
      <c r="N70" s="61">
        <f t="shared" si="18"/>
        <v>0.4</v>
      </c>
      <c r="O70" s="61">
        <f t="shared" si="18"/>
        <v>0.4</v>
      </c>
      <c r="P70" s="61">
        <f t="shared" si="18"/>
        <v>0.4</v>
      </c>
      <c r="Q70" s="61">
        <f t="shared" si="18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8"/>
        <v>0.26315789473684209</v>
      </c>
      <c r="L71" s="62">
        <f t="shared" si="18"/>
        <v>0.26315789473684209</v>
      </c>
      <c r="M71" s="62">
        <f t="shared" si="18"/>
        <v>0.26315789473684209</v>
      </c>
      <c r="N71" s="62">
        <f t="shared" si="18"/>
        <v>0.26315789473684209</v>
      </c>
      <c r="O71" s="62">
        <f t="shared" si="18"/>
        <v>0.26315789473684209</v>
      </c>
      <c r="P71" s="62">
        <f t="shared" si="18"/>
        <v>0.26315789473684209</v>
      </c>
      <c r="Q71" s="62">
        <f t="shared" si="18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8"/>
        <v>4.9707602339181284E-2</v>
      </c>
      <c r="L72" s="62">
        <f t="shared" si="18"/>
        <v>4.9707602339181284E-2</v>
      </c>
      <c r="M72" s="62">
        <f t="shared" si="18"/>
        <v>4.9707602339181284E-2</v>
      </c>
      <c r="N72" s="62">
        <f t="shared" si="18"/>
        <v>4.9707602339181284E-2</v>
      </c>
      <c r="O72" s="62">
        <f t="shared" si="18"/>
        <v>4.9707602339181284E-2</v>
      </c>
      <c r="P72" s="62">
        <f t="shared" si="18"/>
        <v>4.9707602339181284E-2</v>
      </c>
      <c r="Q72" s="62">
        <f t="shared" si="18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8"/>
        <v>4.9707602339181284E-2</v>
      </c>
      <c r="L73" s="76">
        <f t="shared" si="18"/>
        <v>4.9707602339181284E-2</v>
      </c>
      <c r="M73" s="76">
        <f t="shared" si="18"/>
        <v>4.9707602339181284E-2</v>
      </c>
      <c r="N73" s="76">
        <f t="shared" si="18"/>
        <v>4.9707602339181284E-2</v>
      </c>
      <c r="O73" s="76">
        <f t="shared" si="18"/>
        <v>4.9707602339181284E-2</v>
      </c>
      <c r="P73" s="76">
        <f t="shared" si="18"/>
        <v>4.9707602339181284E-2</v>
      </c>
      <c r="Q73" s="76">
        <f t="shared" si="18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>
        <f>I47</f>
        <v>342</v>
      </c>
      <c r="J84" s="82">
        <f t="shared" ref="J84:Q84" si="19">J47</f>
        <v>359.1</v>
      </c>
      <c r="K84" s="82">
        <f t="shared" si="19"/>
        <v>380.64600000000002</v>
      </c>
      <c r="L84" s="82">
        <f t="shared" si="19"/>
        <v>407.29122000000007</v>
      </c>
      <c r="M84" s="82">
        <f t="shared" si="19"/>
        <v>431.72869320000007</v>
      </c>
      <c r="N84" s="82">
        <f t="shared" si="19"/>
        <v>453.31512786000008</v>
      </c>
      <c r="O84" s="82">
        <f t="shared" si="19"/>
        <v>471.44773297440008</v>
      </c>
      <c r="P84" s="82">
        <f t="shared" si="19"/>
        <v>490.30564229337608</v>
      </c>
      <c r="Q84" s="82">
        <f t="shared" si="19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>
        <f>I84*I70</f>
        <v>136.80000000000001</v>
      </c>
      <c r="J85" s="87">
        <f t="shared" ref="J85:Q85" si="20">J84*J70</f>
        <v>143.64000000000001</v>
      </c>
      <c r="K85" s="87">
        <f t="shared" si="20"/>
        <v>152.25840000000002</v>
      </c>
      <c r="L85" s="87">
        <f t="shared" si="20"/>
        <v>162.91648800000004</v>
      </c>
      <c r="M85" s="87">
        <f t="shared" si="20"/>
        <v>172.69147728000004</v>
      </c>
      <c r="N85" s="87">
        <f t="shared" si="20"/>
        <v>181.32605114400005</v>
      </c>
      <c r="O85" s="87">
        <f t="shared" si="20"/>
        <v>188.57909318976004</v>
      </c>
      <c r="P85" s="87">
        <f t="shared" si="20"/>
        <v>196.12225691735046</v>
      </c>
      <c r="Q85" s="87">
        <f t="shared" si="20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I98/I84*F87</f>
        <v>94.73684210526315</v>
      </c>
      <c r="J88" s="92">
        <f>I88</f>
        <v>94.73684210526315</v>
      </c>
      <c r="K88" s="92">
        <f t="shared" ref="K88:Q88" si="21">J88</f>
        <v>94.73684210526315</v>
      </c>
      <c r="L88" s="92">
        <f t="shared" si="21"/>
        <v>94.73684210526315</v>
      </c>
      <c r="M88" s="92">
        <f t="shared" si="21"/>
        <v>94.73684210526315</v>
      </c>
      <c r="N88" s="92">
        <f t="shared" si="21"/>
        <v>94.73684210526315</v>
      </c>
      <c r="O88" s="92">
        <f t="shared" si="21"/>
        <v>94.73684210526315</v>
      </c>
      <c r="P88" s="92">
        <f t="shared" si="21"/>
        <v>94.73684210526315</v>
      </c>
      <c r="Q88" s="92">
        <f t="shared" si="21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I99/I85*F87</f>
        <v>118.42105263157893</v>
      </c>
      <c r="J89" s="93">
        <f t="shared" ref="J89:Q90" si="22">I89</f>
        <v>118.42105263157893</v>
      </c>
      <c r="K89" s="93">
        <f t="shared" si="22"/>
        <v>118.42105263157893</v>
      </c>
      <c r="L89" s="93">
        <f t="shared" si="22"/>
        <v>118.42105263157893</v>
      </c>
      <c r="M89" s="93">
        <f t="shared" si="22"/>
        <v>118.42105263157893</v>
      </c>
      <c r="N89" s="93">
        <f t="shared" si="22"/>
        <v>118.42105263157893</v>
      </c>
      <c r="O89" s="93">
        <f t="shared" si="22"/>
        <v>118.42105263157893</v>
      </c>
      <c r="P89" s="93">
        <f t="shared" si="22"/>
        <v>118.42105263157893</v>
      </c>
      <c r="Q89" s="93">
        <f t="shared" si="22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I103/I85*F87</f>
        <v>115.78947368421052</v>
      </c>
      <c r="J90" s="94">
        <f t="shared" si="22"/>
        <v>115.78947368421052</v>
      </c>
      <c r="K90" s="94">
        <f t="shared" si="22"/>
        <v>115.78947368421052</v>
      </c>
      <c r="L90" s="94">
        <f t="shared" si="22"/>
        <v>115.78947368421052</v>
      </c>
      <c r="M90" s="94">
        <f t="shared" si="22"/>
        <v>115.78947368421052</v>
      </c>
      <c r="N90" s="94">
        <f t="shared" si="22"/>
        <v>115.78947368421052</v>
      </c>
      <c r="O90" s="94">
        <f t="shared" si="22"/>
        <v>115.78947368421052</v>
      </c>
      <c r="P90" s="94">
        <f t="shared" si="22"/>
        <v>115.78947368421052</v>
      </c>
      <c r="Q90" s="94">
        <f t="shared" si="22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 t="shared" ref="J91:Q91" si="23">J88+J89-J90</f>
        <v>97.368421052631561</v>
      </c>
      <c r="K91" s="95">
        <f t="shared" si="23"/>
        <v>97.368421052631561</v>
      </c>
      <c r="L91" s="95">
        <f t="shared" si="23"/>
        <v>97.368421052631561</v>
      </c>
      <c r="M91" s="95">
        <f t="shared" si="23"/>
        <v>97.368421052631561</v>
      </c>
      <c r="N91" s="95">
        <f t="shared" si="23"/>
        <v>97.368421052631561</v>
      </c>
      <c r="O91" s="95">
        <f t="shared" si="23"/>
        <v>97.368421052631561</v>
      </c>
      <c r="P91" s="95">
        <f t="shared" si="23"/>
        <v>97.368421052631561</v>
      </c>
      <c r="Q91" s="95">
        <f t="shared" si="23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24">J93</f>
        <v>2.046783625730994E-2</v>
      </c>
      <c r="L93" s="61">
        <f t="shared" si="24"/>
        <v>2.046783625730994E-2</v>
      </c>
      <c r="M93" s="61">
        <f t="shared" si="24"/>
        <v>2.046783625730994E-2</v>
      </c>
      <c r="N93" s="61">
        <f t="shared" si="24"/>
        <v>2.046783625730994E-2</v>
      </c>
      <c r="O93" s="61">
        <f t="shared" si="24"/>
        <v>2.046783625730994E-2</v>
      </c>
      <c r="P93" s="61">
        <f t="shared" si="24"/>
        <v>2.046783625730994E-2</v>
      </c>
      <c r="Q93" s="61">
        <f t="shared" si="24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 t="shared" ref="J94:Q95" si="25">I94</f>
        <v>0.10818713450292397</v>
      </c>
      <c r="K94" s="62">
        <f t="shared" si="25"/>
        <v>0.10818713450292397</v>
      </c>
      <c r="L94" s="62">
        <f t="shared" si="25"/>
        <v>0.10818713450292397</v>
      </c>
      <c r="M94" s="62">
        <f t="shared" si="25"/>
        <v>0.10818713450292397</v>
      </c>
      <c r="N94" s="62">
        <f t="shared" si="25"/>
        <v>0.10818713450292397</v>
      </c>
      <c r="O94" s="62">
        <f t="shared" si="25"/>
        <v>0.10818713450292397</v>
      </c>
      <c r="P94" s="62">
        <f t="shared" si="25"/>
        <v>0.10818713450292397</v>
      </c>
      <c r="Q94" s="62">
        <f t="shared" si="25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si="25"/>
        <v>8.771929824561403E-3</v>
      </c>
      <c r="K95" s="76">
        <f t="shared" si="25"/>
        <v>8.771929824561403E-3</v>
      </c>
      <c r="L95" s="76">
        <f t="shared" si="25"/>
        <v>8.771929824561403E-3</v>
      </c>
      <c r="M95" s="76">
        <f t="shared" si="25"/>
        <v>8.771929824561403E-3</v>
      </c>
      <c r="N95" s="76">
        <f t="shared" si="25"/>
        <v>8.771929824561403E-3</v>
      </c>
      <c r="O95" s="76">
        <f t="shared" si="25"/>
        <v>8.771929824561403E-3</v>
      </c>
      <c r="P95" s="76">
        <f t="shared" si="25"/>
        <v>8.771929824561403E-3</v>
      </c>
      <c r="Q95" s="76">
        <f t="shared" si="25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9" si="26">K88/$F$87*K84</f>
        <v>100.17</v>
      </c>
      <c r="L98" s="82">
        <f t="shared" si="26"/>
        <v>107.18190000000001</v>
      </c>
      <c r="M98" s="82">
        <f t="shared" si="26"/>
        <v>113.61281400000001</v>
      </c>
      <c r="N98" s="82">
        <f t="shared" si="26"/>
        <v>119.29345470000001</v>
      </c>
      <c r="O98" s="82">
        <f t="shared" si="26"/>
        <v>124.06519288800001</v>
      </c>
      <c r="P98" s="82">
        <f t="shared" si="26"/>
        <v>129.02780060352001</v>
      </c>
      <c r="Q98" s="82">
        <f t="shared" si="26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 t="shared" ref="I99:I100" si="27">H121</f>
        <v>45</v>
      </c>
      <c r="J99" s="72">
        <f>J89/$F$87*J85</f>
        <v>47.25</v>
      </c>
      <c r="K99" s="72">
        <f t="shared" si="26"/>
        <v>50.085000000000001</v>
      </c>
      <c r="L99" s="72">
        <f t="shared" si="26"/>
        <v>53.590950000000007</v>
      </c>
      <c r="M99" s="72">
        <f t="shared" si="26"/>
        <v>56.806407000000007</v>
      </c>
      <c r="N99" s="72">
        <f t="shared" si="26"/>
        <v>59.646727350000006</v>
      </c>
      <c r="O99" s="72">
        <f t="shared" si="26"/>
        <v>62.032596444000006</v>
      </c>
      <c r="P99" s="72">
        <f t="shared" si="26"/>
        <v>64.513900301760017</v>
      </c>
      <c r="Q99" s="72">
        <f t="shared" si="26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 t="shared" si="27"/>
        <v>7</v>
      </c>
      <c r="J100" s="73">
        <f>J93*J84</f>
        <v>7.35</v>
      </c>
      <c r="K100" s="73">
        <f t="shared" ref="K100:Q100" si="28">K93*K84</f>
        <v>7.7909999999999995</v>
      </c>
      <c r="L100" s="73">
        <f t="shared" si="28"/>
        <v>8.3363700000000005</v>
      </c>
      <c r="M100" s="73">
        <f t="shared" si="28"/>
        <v>8.8365522000000016</v>
      </c>
      <c r="N100" s="73">
        <f t="shared" si="28"/>
        <v>9.2783798100000006</v>
      </c>
      <c r="O100" s="73">
        <f t="shared" si="28"/>
        <v>9.6495150024000012</v>
      </c>
      <c r="P100" s="73">
        <f t="shared" si="28"/>
        <v>10.035495602496001</v>
      </c>
      <c r="Q100" s="73">
        <f t="shared" si="28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29">SUM(K98:K100)</f>
        <v>158.04599999999999</v>
      </c>
      <c r="L101" s="51">
        <f t="shared" si="29"/>
        <v>169.10921999999999</v>
      </c>
      <c r="M101" s="51">
        <f t="shared" si="29"/>
        <v>179.25577320000002</v>
      </c>
      <c r="N101" s="51">
        <f t="shared" si="29"/>
        <v>188.21856186000002</v>
      </c>
      <c r="O101" s="51">
        <f t="shared" si="29"/>
        <v>195.74730433440001</v>
      </c>
      <c r="P101" s="51">
        <f t="shared" si="29"/>
        <v>203.57719650777605</v>
      </c>
      <c r="Q101" s="51">
        <f t="shared" si="29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30">K90/$F$87*K85</f>
        <v>48.972000000000001</v>
      </c>
      <c r="L103" s="82">
        <f t="shared" si="30"/>
        <v>52.400040000000011</v>
      </c>
      <c r="M103" s="82">
        <f t="shared" si="30"/>
        <v>55.544042400000009</v>
      </c>
      <c r="N103" s="82">
        <f t="shared" si="30"/>
        <v>58.321244520000015</v>
      </c>
      <c r="O103" s="82">
        <f t="shared" si="30"/>
        <v>60.654094300800011</v>
      </c>
      <c r="P103" s="82">
        <f t="shared" si="30"/>
        <v>63.080258072832017</v>
      </c>
      <c r="Q103" s="82">
        <f t="shared" si="30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31">H131</f>
        <v>37</v>
      </c>
      <c r="J104" s="72">
        <f>J94*J$84</f>
        <v>38.85</v>
      </c>
      <c r="K104" s="72">
        <f t="shared" ref="K104:Q104" si="32">K94*K$84</f>
        <v>41.180999999999997</v>
      </c>
      <c r="L104" s="72">
        <f t="shared" si="32"/>
        <v>44.063670000000002</v>
      </c>
      <c r="M104" s="72">
        <f t="shared" si="32"/>
        <v>46.707490200000002</v>
      </c>
      <c r="N104" s="72">
        <f t="shared" si="32"/>
        <v>49.042864710000003</v>
      </c>
      <c r="O104" s="72">
        <f t="shared" si="32"/>
        <v>51.004579298400003</v>
      </c>
      <c r="P104" s="72">
        <f t="shared" si="32"/>
        <v>53.044762470336003</v>
      </c>
      <c r="Q104" s="72">
        <f t="shared" si="32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31"/>
        <v>3</v>
      </c>
      <c r="J105" s="73">
        <f t="shared" ref="J105:Q105" si="33">J95*J$84</f>
        <v>3.15</v>
      </c>
      <c r="K105" s="73">
        <f t="shared" si="33"/>
        <v>3.339</v>
      </c>
      <c r="L105" s="73">
        <f t="shared" si="33"/>
        <v>3.5727300000000004</v>
      </c>
      <c r="M105" s="73">
        <f t="shared" si="33"/>
        <v>3.7870938000000005</v>
      </c>
      <c r="N105" s="73">
        <f t="shared" si="33"/>
        <v>3.9764484900000006</v>
      </c>
      <c r="O105" s="73">
        <f t="shared" si="33"/>
        <v>4.1355064296000004</v>
      </c>
      <c r="P105" s="73">
        <f t="shared" si="33"/>
        <v>4.3009266867840008</v>
      </c>
      <c r="Q105" s="73">
        <f t="shared" si="33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34">SUM(K103:K105)</f>
        <v>93.49199999999999</v>
      </c>
      <c r="L106" s="51">
        <f t="shared" si="34"/>
        <v>100.03644000000003</v>
      </c>
      <c r="M106" s="51">
        <f t="shared" si="34"/>
        <v>106.03862640000001</v>
      </c>
      <c r="N106" s="51">
        <f t="shared" si="34"/>
        <v>111.34055772000002</v>
      </c>
      <c r="O106" s="51">
        <f t="shared" si="34"/>
        <v>115.79418002880001</v>
      </c>
      <c r="P106" s="51">
        <f t="shared" si="34"/>
        <v>120.42594722995202</v>
      </c>
      <c r="Q106" s="51">
        <f t="shared" si="34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 t="shared" ref="J108:Q108" si="35">J101-J106</f>
        <v>60.899999999999977</v>
      </c>
      <c r="K108" s="51">
        <f t="shared" si="35"/>
        <v>64.554000000000002</v>
      </c>
      <c r="L108" s="51">
        <f t="shared" si="35"/>
        <v>69.072779999999966</v>
      </c>
      <c r="M108" s="51">
        <f t="shared" si="35"/>
        <v>73.217146800000009</v>
      </c>
      <c r="N108" s="51">
        <f t="shared" si="35"/>
        <v>76.878004140000002</v>
      </c>
      <c r="O108" s="51">
        <f t="shared" si="35"/>
        <v>79.953124305599999</v>
      </c>
      <c r="P108" s="51">
        <f t="shared" si="35"/>
        <v>83.151249277824036</v>
      </c>
      <c r="Q108" s="51">
        <f t="shared" si="35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36">J108-K108</f>
        <v>-3.6540000000000248</v>
      </c>
      <c r="L109" s="49">
        <f t="shared" si="36"/>
        <v>-4.518779999999964</v>
      </c>
      <c r="M109" s="49">
        <f t="shared" si="36"/>
        <v>-4.1443668000000429</v>
      </c>
      <c r="N109" s="49">
        <f t="shared" si="36"/>
        <v>-3.6608573399999926</v>
      </c>
      <c r="O109" s="49">
        <f t="shared" si="36"/>
        <v>-3.0751201655999978</v>
      </c>
      <c r="P109" s="49">
        <f t="shared" si="36"/>
        <v>-3.1981249722240364</v>
      </c>
      <c r="Q109" s="49">
        <f t="shared" si="36"/>
        <v>-3.326049971112937</v>
      </c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 t="shared" ref="I121:I122" si="37">H121</f>
        <v>45</v>
      </c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2">
        <f t="shared" si="37"/>
        <v>7</v>
      </c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38">H131</f>
        <v>37</v>
      </c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38"/>
        <v>3</v>
      </c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>
        <f>SUM(G15:G16)-G24</f>
        <v>220.9375</v>
      </c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39">ROUND(J140,3) = ROUND(J127,3)</f>
        <v>1</v>
      </c>
      <c r="K141" s="91" t="b">
        <f t="shared" si="39"/>
        <v>1</v>
      </c>
      <c r="L141" s="91" t="b">
        <f t="shared" si="39"/>
        <v>1</v>
      </c>
      <c r="M141" s="91" t="b">
        <f t="shared" si="39"/>
        <v>1</v>
      </c>
      <c r="N141" s="91" t="b">
        <f t="shared" si="39"/>
        <v>1</v>
      </c>
      <c r="O141" s="91" t="b">
        <f t="shared" si="39"/>
        <v>1</v>
      </c>
      <c r="P141" s="91" t="b">
        <f t="shared" si="39"/>
        <v>1</v>
      </c>
      <c r="Q141" s="91" t="b">
        <f t="shared" si="39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/>
      <c r="K151" s="72"/>
      <c r="L151" s="72"/>
      <c r="M151" s="72"/>
      <c r="N151" s="72"/>
      <c r="O151" s="72"/>
      <c r="P151" s="72"/>
      <c r="Q151" s="72"/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/>
      <c r="K154" s="51"/>
      <c r="L154" s="51"/>
      <c r="M154" s="51"/>
      <c r="N154" s="51"/>
      <c r="O154" s="51"/>
      <c r="P154" s="51"/>
      <c r="Q154" s="51"/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/>
      <c r="K155" s="50"/>
      <c r="L155" s="50"/>
      <c r="M155" s="50"/>
      <c r="N155" s="50"/>
      <c r="O155" s="50"/>
      <c r="P155" s="50"/>
      <c r="Q155" s="50"/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/>
      <c r="K156" s="51"/>
      <c r="L156" s="51"/>
      <c r="M156" s="51"/>
      <c r="N156" s="51"/>
      <c r="O156" s="51"/>
      <c r="P156" s="51"/>
      <c r="Q156" s="51"/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/>
      <c r="K159" s="72"/>
      <c r="L159" s="72"/>
      <c r="M159" s="72"/>
      <c r="N159" s="72"/>
      <c r="O159" s="72"/>
      <c r="P159" s="72"/>
      <c r="Q159" s="72"/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/>
      <c r="K160" s="73"/>
      <c r="L160" s="73"/>
      <c r="M160" s="73"/>
      <c r="N160" s="73"/>
      <c r="O160" s="73"/>
      <c r="P160" s="73"/>
      <c r="Q160" s="73"/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/>
      <c r="K161" s="51"/>
      <c r="L161" s="51"/>
      <c r="M161" s="51"/>
      <c r="N161" s="51"/>
      <c r="O161" s="51"/>
      <c r="P161" s="51"/>
      <c r="Q161" s="51"/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/>
      <c r="K163" s="82"/>
      <c r="L163" s="82"/>
      <c r="M163" s="82"/>
      <c r="N163" s="82"/>
      <c r="O163" s="82"/>
      <c r="P163" s="82"/>
      <c r="Q163" s="82"/>
    </row>
    <row r="164" spans="1:24" x14ac:dyDescent="0.2">
      <c r="B164" s="20" t="s">
        <v>136</v>
      </c>
      <c r="J164" s="50"/>
      <c r="K164" s="50"/>
      <c r="L164" s="50"/>
      <c r="M164" s="50"/>
      <c r="N164" s="50"/>
      <c r="O164" s="50"/>
      <c r="P164" s="50"/>
      <c r="Q164" s="50"/>
    </row>
    <row r="165" spans="1:24" x14ac:dyDescent="0.2">
      <c r="B165" s="20"/>
    </row>
    <row r="166" spans="1:24" x14ac:dyDescent="0.2">
      <c r="B166" s="20" t="s">
        <v>143</v>
      </c>
      <c r="J166" s="49"/>
      <c r="K166" s="49"/>
      <c r="L166" s="49"/>
      <c r="M166" s="49"/>
      <c r="N166" s="49"/>
      <c r="O166" s="49"/>
      <c r="P166" s="49"/>
      <c r="Q166" s="49"/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/>
      <c r="K170" s="82"/>
      <c r="L170" s="82"/>
      <c r="M170" s="82"/>
      <c r="N170" s="82"/>
      <c r="O170" s="82"/>
      <c r="P170" s="82"/>
      <c r="Q170" s="82"/>
    </row>
    <row r="171" spans="1:24" x14ac:dyDescent="0.2">
      <c r="B171" s="20" t="s">
        <v>145</v>
      </c>
      <c r="G171" s="99">
        <f>H35</f>
        <v>2.5000000000000001E-3</v>
      </c>
      <c r="J171" s="50"/>
      <c r="K171" s="50"/>
      <c r="L171" s="50"/>
      <c r="M171" s="50"/>
      <c r="N171" s="50"/>
      <c r="O171" s="50"/>
      <c r="P171" s="50"/>
      <c r="Q171" s="50"/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40">J$116</f>
        <v>43100</v>
      </c>
      <c r="K177" s="54">
        <f t="shared" si="40"/>
        <v>43465</v>
      </c>
      <c r="L177" s="54">
        <f t="shared" si="40"/>
        <v>43830</v>
      </c>
      <c r="M177" s="54">
        <f t="shared" si="40"/>
        <v>44196</v>
      </c>
      <c r="N177" s="54">
        <f t="shared" si="40"/>
        <v>44561</v>
      </c>
      <c r="O177" s="54">
        <f t="shared" si="40"/>
        <v>44926</v>
      </c>
      <c r="P177" s="54">
        <f t="shared" si="40"/>
        <v>45291</v>
      </c>
      <c r="Q177" s="54">
        <f t="shared" si="40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2:17" x14ac:dyDescent="0.2">
      <c r="C186" s="8" t="s">
        <v>168</v>
      </c>
      <c r="J186" s="57">
        <f>IFERROR(J185/$I185,0)</f>
        <v>0</v>
      </c>
      <c r="K186" s="57">
        <f t="shared" ref="K186:Q186" si="41">IFERROR(K185/$I185,0)</f>
        <v>0</v>
      </c>
      <c r="L186" s="57">
        <f t="shared" si="41"/>
        <v>0</v>
      </c>
      <c r="M186" s="57">
        <f t="shared" si="41"/>
        <v>0</v>
      </c>
      <c r="N186" s="57">
        <f t="shared" si="41"/>
        <v>0</v>
      </c>
      <c r="O186" s="57">
        <f t="shared" si="41"/>
        <v>0</v>
      </c>
      <c r="P186" s="57">
        <f t="shared" si="41"/>
        <v>0</v>
      </c>
      <c r="Q186" s="57">
        <f t="shared" si="41"/>
        <v>0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/>
      <c r="K191" s="102"/>
      <c r="L191" s="102"/>
      <c r="M191" s="102"/>
      <c r="N191" s="102"/>
      <c r="O191" s="102"/>
      <c r="P191" s="102"/>
      <c r="Q191" s="102"/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42">K194</f>
        <v>0</v>
      </c>
      <c r="M194" s="61">
        <f t="shared" si="42"/>
        <v>0</v>
      </c>
      <c r="N194" s="61">
        <f t="shared" si="42"/>
        <v>0</v>
      </c>
      <c r="O194" s="61">
        <f t="shared" si="42"/>
        <v>0</v>
      </c>
      <c r="P194" s="61">
        <f t="shared" si="42"/>
        <v>0</v>
      </c>
      <c r="Q194" s="61">
        <f t="shared" si="42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43">J195</f>
        <v>0.01</v>
      </c>
      <c r="L195" s="62">
        <f t="shared" si="43"/>
        <v>0.01</v>
      </c>
      <c r="M195" s="62">
        <f t="shared" si="43"/>
        <v>0.01</v>
      </c>
      <c r="N195" s="62">
        <f t="shared" si="43"/>
        <v>0.01</v>
      </c>
      <c r="O195" s="62">
        <f t="shared" si="43"/>
        <v>0.01</v>
      </c>
      <c r="P195" s="62">
        <f t="shared" si="43"/>
        <v>0.01</v>
      </c>
      <c r="Q195" s="62">
        <f t="shared" si="43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43"/>
        <v>0</v>
      </c>
      <c r="L196" s="62">
        <f t="shared" si="43"/>
        <v>0</v>
      </c>
      <c r="M196" s="62">
        <f t="shared" si="43"/>
        <v>0</v>
      </c>
      <c r="N196" s="62">
        <f t="shared" si="43"/>
        <v>0</v>
      </c>
      <c r="O196" s="62">
        <f t="shared" si="43"/>
        <v>0</v>
      </c>
      <c r="P196" s="62">
        <f t="shared" si="43"/>
        <v>0</v>
      </c>
      <c r="Q196" s="62">
        <f t="shared" si="43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43"/>
        <v>0</v>
      </c>
      <c r="L197" s="76">
        <f t="shared" si="43"/>
        <v>0</v>
      </c>
      <c r="M197" s="76">
        <f t="shared" si="43"/>
        <v>0</v>
      </c>
      <c r="N197" s="76">
        <f t="shared" si="43"/>
        <v>0</v>
      </c>
      <c r="O197" s="76">
        <f t="shared" si="43"/>
        <v>0</v>
      </c>
      <c r="P197" s="76">
        <f t="shared" si="43"/>
        <v>0</v>
      </c>
      <c r="Q197" s="76">
        <f t="shared" si="43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/>
      <c r="K202" s="72"/>
      <c r="L202" s="72"/>
      <c r="M202" s="72"/>
      <c r="N202" s="72"/>
      <c r="O202" s="72"/>
      <c r="P202" s="72"/>
      <c r="Q202" s="72"/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/>
      <c r="K203" s="73"/>
      <c r="L203" s="73"/>
      <c r="M203" s="73"/>
      <c r="N203" s="73"/>
      <c r="O203" s="73"/>
      <c r="P203" s="73"/>
      <c r="Q203" s="73"/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/>
      <c r="K204" s="51"/>
      <c r="L204" s="51"/>
      <c r="M204" s="51"/>
      <c r="N204" s="51"/>
      <c r="O204" s="51"/>
      <c r="P204" s="51"/>
      <c r="Q204" s="51"/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/>
      <c r="K206" s="102"/>
      <c r="L206" s="102"/>
      <c r="M206" s="102"/>
      <c r="N206" s="102"/>
      <c r="O206" s="102"/>
      <c r="P206" s="102"/>
      <c r="Q206" s="102"/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/>
      <c r="K209" s="82"/>
      <c r="L209" s="82"/>
      <c r="M209" s="82"/>
      <c r="N209" s="82"/>
      <c r="O209" s="82"/>
      <c r="P209" s="82"/>
      <c r="Q209" s="82"/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/>
      <c r="K211" s="72"/>
      <c r="L211" s="72"/>
      <c r="M211" s="72"/>
      <c r="N211" s="72"/>
      <c r="O211" s="72"/>
      <c r="P211" s="72"/>
      <c r="Q211" s="72"/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/>
      <c r="K212" s="72"/>
      <c r="L212" s="72"/>
      <c r="M212" s="72"/>
      <c r="N212" s="72"/>
      <c r="O212" s="72"/>
      <c r="P212" s="72"/>
      <c r="Q212" s="72"/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/>
      <c r="K213" s="51"/>
      <c r="L213" s="51"/>
      <c r="M213" s="51"/>
      <c r="N213" s="51"/>
      <c r="O213" s="51"/>
      <c r="P213" s="51"/>
      <c r="Q213" s="51"/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44">J$116</f>
        <v>43100</v>
      </c>
      <c r="K219" s="54">
        <f t="shared" si="44"/>
        <v>43465</v>
      </c>
      <c r="L219" s="54">
        <f t="shared" si="44"/>
        <v>43830</v>
      </c>
      <c r="M219" s="54">
        <f t="shared" si="44"/>
        <v>44196</v>
      </c>
      <c r="N219" s="54">
        <f t="shared" si="44"/>
        <v>44561</v>
      </c>
      <c r="O219" s="54">
        <f t="shared" si="44"/>
        <v>44926</v>
      </c>
      <c r="P219" s="54">
        <f t="shared" si="44"/>
        <v>45291</v>
      </c>
      <c r="Q219" s="54">
        <f t="shared" si="44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/>
      <c r="K228" s="72"/>
      <c r="L228" s="72"/>
      <c r="M228" s="72"/>
      <c r="N228" s="72"/>
      <c r="O228" s="72"/>
      <c r="P228" s="72"/>
      <c r="Q228" s="72"/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/>
      <c r="K229" s="73"/>
      <c r="L229" s="73"/>
      <c r="M229" s="73"/>
      <c r="N229" s="73"/>
      <c r="O229" s="73"/>
      <c r="P229" s="73"/>
      <c r="Q229" s="73"/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/>
      <c r="K232" s="108"/>
      <c r="L232" s="108"/>
      <c r="M232" s="108"/>
      <c r="N232" s="108"/>
      <c r="O232" s="108"/>
      <c r="P232" s="108"/>
      <c r="Q232" s="108"/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45">S10</f>
        <v>1</v>
      </c>
      <c r="H233" s="110">
        <f t="shared" si="45"/>
        <v>0.02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45"/>
        <v>1</v>
      </c>
      <c r="H234" s="109">
        <f t="shared" si="45"/>
        <v>0.03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45"/>
        <v>0</v>
      </c>
      <c r="H235" s="111">
        <f t="shared" si="45"/>
        <v>7.0000000000000007E-2</v>
      </c>
      <c r="I235" s="16"/>
      <c r="J235" s="111"/>
      <c r="K235" s="111"/>
      <c r="L235" s="111"/>
      <c r="M235" s="111"/>
      <c r="N235" s="111"/>
      <c r="O235" s="111"/>
      <c r="P235" s="111"/>
      <c r="Q235" s="111"/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45"/>
        <v>0</v>
      </c>
      <c r="H236" s="112">
        <f t="shared" si="45"/>
        <v>8.5000000000000006E-2</v>
      </c>
      <c r="I236" s="17"/>
      <c r="J236" s="112"/>
      <c r="K236" s="112"/>
      <c r="L236" s="112"/>
      <c r="M236" s="112"/>
      <c r="N236" s="112"/>
      <c r="O236" s="112"/>
      <c r="P236" s="112"/>
      <c r="Q236" s="112"/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/>
      <c r="K242" s="72"/>
      <c r="L242" s="72"/>
      <c r="M242" s="72"/>
      <c r="N242" s="72"/>
      <c r="O242" s="72"/>
      <c r="P242" s="72"/>
      <c r="Q242" s="72"/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/>
      <c r="K243" s="73"/>
      <c r="L243" s="73"/>
      <c r="M243" s="73"/>
      <c r="N243" s="73"/>
      <c r="O243" s="73"/>
      <c r="P243" s="73"/>
      <c r="Q243" s="73"/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/>
      <c r="K244" s="51"/>
      <c r="L244" s="51"/>
      <c r="M244" s="51"/>
      <c r="N244" s="51"/>
      <c r="O244" s="51"/>
      <c r="P244" s="51"/>
      <c r="Q244" s="51"/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46">V13</f>
        <v>3</v>
      </c>
      <c r="H248" s="17"/>
      <c r="I248" s="17"/>
      <c r="J248" s="73"/>
      <c r="K248" s="73"/>
      <c r="L248" s="73"/>
      <c r="M248" s="73"/>
      <c r="N248" s="73"/>
      <c r="O248" s="73"/>
      <c r="P248" s="73"/>
      <c r="Q248" s="73"/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/>
      <c r="K249" s="51"/>
      <c r="L249" s="51"/>
      <c r="M249" s="51"/>
      <c r="N249" s="51"/>
      <c r="O249" s="51"/>
      <c r="P249" s="51"/>
      <c r="Q249" s="51"/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/>
      <c r="K252" s="82"/>
      <c r="L252" s="82"/>
      <c r="M252" s="82"/>
      <c r="N252" s="82"/>
      <c r="O252" s="82"/>
      <c r="P252" s="82"/>
      <c r="Q252" s="82"/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/>
      <c r="K254" s="72"/>
      <c r="L254" s="72"/>
      <c r="M254" s="72"/>
      <c r="N254" s="72"/>
      <c r="O254" s="72"/>
      <c r="P254" s="72"/>
      <c r="Q254" s="72"/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/>
      <c r="K255" s="73"/>
      <c r="L255" s="73"/>
      <c r="M255" s="73"/>
      <c r="N255" s="73"/>
      <c r="O255" s="73"/>
      <c r="P255" s="73"/>
      <c r="Q255" s="73"/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/>
      <c r="K256" s="51"/>
      <c r="L256" s="51"/>
      <c r="M256" s="51"/>
      <c r="N256" s="51"/>
      <c r="O256" s="51"/>
      <c r="P256" s="51"/>
      <c r="Q256" s="51"/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/>
      <c r="K259" s="82"/>
      <c r="L259" s="82"/>
      <c r="M259" s="82"/>
      <c r="N259" s="82"/>
      <c r="O259" s="82"/>
      <c r="P259" s="82"/>
      <c r="Q259" s="82"/>
    </row>
    <row r="260" spans="1:24" x14ac:dyDescent="0.2">
      <c r="B260" s="20" t="s">
        <v>157</v>
      </c>
      <c r="J260" s="50"/>
      <c r="K260" s="50"/>
      <c r="L260" s="50"/>
      <c r="M260" s="50"/>
      <c r="N260" s="50"/>
      <c r="O260" s="50"/>
      <c r="P260" s="50"/>
      <c r="Q260" s="50"/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/>
      <c r="K261" s="51"/>
      <c r="L261" s="51"/>
      <c r="M261" s="51"/>
      <c r="N261" s="51"/>
      <c r="O261" s="51"/>
      <c r="P261" s="51"/>
      <c r="Q261" s="51"/>
    </row>
    <row r="262" spans="1:24" x14ac:dyDescent="0.2">
      <c r="B262" s="20" t="s">
        <v>159</v>
      </c>
      <c r="J262" s="50"/>
      <c r="K262" s="50"/>
      <c r="L262" s="50"/>
      <c r="M262" s="50"/>
      <c r="N262" s="50"/>
      <c r="O262" s="50"/>
      <c r="P262" s="50"/>
      <c r="Q262" s="50"/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/>
      <c r="K263" s="51"/>
      <c r="L263" s="51"/>
      <c r="M263" s="51"/>
      <c r="N263" s="51"/>
      <c r="O263" s="51"/>
      <c r="P263" s="51"/>
      <c r="Q263" s="51"/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/>
      <c r="K266" s="82"/>
      <c r="L266" s="82"/>
      <c r="M266" s="82"/>
      <c r="N266" s="82"/>
      <c r="O266" s="82"/>
      <c r="P266" s="82"/>
      <c r="Q266" s="82"/>
    </row>
    <row r="267" spans="1:24" x14ac:dyDescent="0.2">
      <c r="B267" s="20" t="s">
        <v>157</v>
      </c>
      <c r="J267" s="50"/>
      <c r="K267" s="50"/>
      <c r="L267" s="50"/>
      <c r="M267" s="50"/>
      <c r="N267" s="50"/>
      <c r="O267" s="50"/>
      <c r="P267" s="50"/>
      <c r="Q267" s="50"/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/>
      <c r="K268" s="51"/>
      <c r="L268" s="51"/>
      <c r="M268" s="51"/>
      <c r="N268" s="51"/>
      <c r="O268" s="51"/>
      <c r="P268" s="51"/>
      <c r="Q268" s="51"/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47">J$116</f>
        <v>43100</v>
      </c>
      <c r="K275" s="54">
        <f t="shared" si="47"/>
        <v>43465</v>
      </c>
      <c r="L275" s="54">
        <f t="shared" si="47"/>
        <v>43830</v>
      </c>
      <c r="M275" s="54">
        <f t="shared" si="47"/>
        <v>44196</v>
      </c>
      <c r="N275" s="54">
        <f t="shared" si="47"/>
        <v>44561</v>
      </c>
      <c r="O275" s="54">
        <f t="shared" si="47"/>
        <v>44926</v>
      </c>
      <c r="P275" s="54">
        <f t="shared" si="47"/>
        <v>45291</v>
      </c>
      <c r="Q275" s="54">
        <f t="shared" si="47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48">I$116</f>
        <v>42735</v>
      </c>
      <c r="J303" s="54">
        <f t="shared" ref="J303:Q303" si="49">J$116</f>
        <v>43100</v>
      </c>
      <c r="K303" s="54">
        <f t="shared" si="49"/>
        <v>43465</v>
      </c>
      <c r="L303" s="54">
        <f t="shared" si="49"/>
        <v>43830</v>
      </c>
      <c r="M303" s="54">
        <f t="shared" si="49"/>
        <v>44196</v>
      </c>
      <c r="N303" s="54">
        <f t="shared" si="49"/>
        <v>44561</v>
      </c>
      <c r="O303" s="54">
        <f t="shared" si="49"/>
        <v>44926</v>
      </c>
      <c r="P303" s="54">
        <f t="shared" si="49"/>
        <v>45291</v>
      </c>
      <c r="Q303" s="54">
        <f t="shared" si="49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A16C-4183-4E25-BB7F-297E252A9EF4}">
  <dimension ref="A1:X366"/>
  <sheetViews>
    <sheetView showGridLines="0" zoomScaleNormal="100" workbookViewId="0"/>
  </sheetViews>
  <sheetFormatPr defaultColWidth="8.83203125" defaultRowHeight="12.75" x14ac:dyDescent="0.2"/>
  <cols>
    <col min="1" max="4" width="3.33203125" style="3" customWidth="1"/>
    <col min="5" max="23" width="12.6640625" style="3" customWidth="1"/>
    <col min="24" max="24" width="3.6640625" style="3" customWidth="1"/>
    <col min="25" max="16384" width="8.83203125" style="3"/>
  </cols>
  <sheetData>
    <row r="1" spans="1:24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thickTop="1" x14ac:dyDescent="0.25">
      <c r="A2" s="4" t="s">
        <v>191</v>
      </c>
    </row>
    <row r="3" spans="1:24" x14ac:dyDescent="0.2">
      <c r="A3" s="3" t="s">
        <v>185</v>
      </c>
    </row>
    <row r="4" spans="1:24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185</v>
      </c>
      <c r="R4" s="7"/>
      <c r="S4" s="7"/>
      <c r="T4" s="7"/>
      <c r="U4" s="7"/>
      <c r="V4" s="7"/>
      <c r="W4" s="7"/>
      <c r="X4" s="7"/>
    </row>
    <row r="5" spans="1:24" x14ac:dyDescent="0.2">
      <c r="B5" s="8" t="s">
        <v>37</v>
      </c>
    </row>
    <row r="7" spans="1:24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4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4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4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4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4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4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4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4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4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1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1:20" x14ac:dyDescent="0.2">
      <c r="J18" s="3" t="s">
        <v>60</v>
      </c>
      <c r="M18" s="49">
        <f>M17*M14</f>
        <v>81</v>
      </c>
    </row>
    <row r="19" spans="1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1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  <c r="K20" s="3" t="s">
        <v>185</v>
      </c>
    </row>
    <row r="21" spans="1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1:20" x14ac:dyDescent="0.2">
      <c r="A22" s="3" t="s">
        <v>185</v>
      </c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1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137">
        <f>IFERROR(Q23/$M$9,0)</f>
        <v>3.0555555555555554</v>
      </c>
      <c r="T23" s="50">
        <f>Q23*W11</f>
        <v>3.4375</v>
      </c>
    </row>
    <row r="24" spans="1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138">
        <f t="shared" ref="R24:R28" si="2">IFERROR(Q24/$M$9,0)</f>
        <v>3.0555555555555554</v>
      </c>
      <c r="S24" s="9"/>
      <c r="T24" s="51"/>
    </row>
    <row r="25" spans="1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139">
        <f t="shared" si="2"/>
        <v>2.5</v>
      </c>
      <c r="T25" s="50">
        <f>Q25*W12</f>
        <v>4.5</v>
      </c>
    </row>
    <row r="26" spans="1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138">
        <f t="shared" si="2"/>
        <v>5.5555555555555554</v>
      </c>
      <c r="S26" s="9"/>
      <c r="T26" s="51"/>
    </row>
    <row r="27" spans="1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139">
        <f t="shared" si="2"/>
        <v>1.1111111111111112</v>
      </c>
      <c r="T27" s="50">
        <f>Q27*W13</f>
        <v>2.5</v>
      </c>
    </row>
    <row r="28" spans="1:20" x14ac:dyDescent="0.2">
      <c r="O28" s="9" t="s">
        <v>80</v>
      </c>
      <c r="P28" s="9"/>
      <c r="Q28" s="51">
        <f>SUM(Q26:Q27)</f>
        <v>600</v>
      </c>
      <c r="R28" s="138">
        <f t="shared" si="2"/>
        <v>6.666666666666667</v>
      </c>
      <c r="S28" s="9"/>
      <c r="T28" s="51">
        <f>SUM(T22:T27)</f>
        <v>10.9375</v>
      </c>
    </row>
    <row r="30" spans="1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1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>COUNTIF(H141:Q141,FALSE) = 0</f>
        <v>1</v>
      </c>
    </row>
    <row r="33" spans="1:24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184</v>
      </c>
      <c r="M33" s="18" t="b">
        <f>G27</f>
        <v>1</v>
      </c>
    </row>
    <row r="34" spans="1:24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4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4" x14ac:dyDescent="0.2">
      <c r="B36" s="3" t="s">
        <v>83</v>
      </c>
      <c r="H36" s="52">
        <v>0.35</v>
      </c>
    </row>
    <row r="37" spans="1:24" ht="13.5" thickBot="1" x14ac:dyDescent="0.25"/>
    <row r="38" spans="1:24" ht="13.5" thickBot="1" x14ac:dyDescent="0.25">
      <c r="B38" s="3" t="s">
        <v>94</v>
      </c>
      <c r="H38" s="55">
        <v>1</v>
      </c>
    </row>
    <row r="42" spans="1:24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B43" s="8" t="s">
        <v>37</v>
      </c>
    </row>
    <row r="45" spans="1:24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4" ht="3" customHeight="1" x14ac:dyDescent="0.2"/>
    <row r="47" spans="1:24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3">J47*(1+K69)</f>
        <v>380.64600000000002</v>
      </c>
      <c r="L47" s="51">
        <f t="shared" si="3"/>
        <v>407.29122000000007</v>
      </c>
      <c r="M47" s="51">
        <f t="shared" si="3"/>
        <v>431.72869320000007</v>
      </c>
      <c r="N47" s="51">
        <f t="shared" si="3"/>
        <v>453.31512786000008</v>
      </c>
      <c r="O47" s="51">
        <f t="shared" si="3"/>
        <v>471.44773297440008</v>
      </c>
      <c r="P47" s="51">
        <f t="shared" si="3"/>
        <v>490.30564229337608</v>
      </c>
      <c r="Q47" s="51">
        <f t="shared" si="3"/>
        <v>509.91786798511112</v>
      </c>
    </row>
    <row r="48" spans="1:24" x14ac:dyDescent="0.2">
      <c r="C48" s="8" t="s">
        <v>89</v>
      </c>
      <c r="I48" s="57">
        <f>IFERROR(I47/H47-1,0)</f>
        <v>4.587155963302747E-2</v>
      </c>
      <c r="J48" s="57">
        <f t="shared" ref="J48:Q48" si="4">IFERROR(J47/I47-1,0)</f>
        <v>5.0000000000000044E-2</v>
      </c>
      <c r="K48" s="57">
        <f t="shared" si="4"/>
        <v>6.0000000000000053E-2</v>
      </c>
      <c r="L48" s="57">
        <f t="shared" si="4"/>
        <v>7.0000000000000062E-2</v>
      </c>
      <c r="M48" s="57">
        <f t="shared" si="4"/>
        <v>6.0000000000000053E-2</v>
      </c>
      <c r="N48" s="57">
        <f t="shared" si="4"/>
        <v>5.0000000000000044E-2</v>
      </c>
      <c r="O48" s="57">
        <f t="shared" si="4"/>
        <v>4.0000000000000036E-2</v>
      </c>
      <c r="P48" s="57">
        <f t="shared" si="4"/>
        <v>4.0000000000000036E-2</v>
      </c>
      <c r="Q48" s="57">
        <f t="shared" si="4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J71*J47</f>
        <v>94.5</v>
      </c>
      <c r="K50" s="51">
        <f t="shared" ref="K50:Q50" si="5">K71*K47</f>
        <v>100.17</v>
      </c>
      <c r="L50" s="51">
        <f t="shared" si="5"/>
        <v>107.18190000000001</v>
      </c>
      <c r="M50" s="51">
        <f t="shared" si="5"/>
        <v>113.61281400000001</v>
      </c>
      <c r="N50" s="51">
        <f t="shared" si="5"/>
        <v>119.29345470000001</v>
      </c>
      <c r="O50" s="51">
        <f t="shared" si="5"/>
        <v>124.06519288800001</v>
      </c>
      <c r="P50" s="51">
        <f t="shared" si="5"/>
        <v>129.02780060352001</v>
      </c>
      <c r="Q50" s="51">
        <f t="shared" si="5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6">IFERROR(J50/J$47,0)</f>
        <v>0.26315789473684209</v>
      </c>
      <c r="K51" s="59">
        <f t="shared" si="6"/>
        <v>0.26315789473684209</v>
      </c>
      <c r="L51" s="59">
        <f t="shared" si="6"/>
        <v>0.26315789473684209</v>
      </c>
      <c r="M51" s="59">
        <f t="shared" si="6"/>
        <v>0.26315789473684209</v>
      </c>
      <c r="N51" s="59">
        <f t="shared" si="6"/>
        <v>0.26315789473684209</v>
      </c>
      <c r="O51" s="59">
        <f t="shared" si="6"/>
        <v>0.26315789473684209</v>
      </c>
      <c r="P51" s="59">
        <f t="shared" si="6"/>
        <v>0.26315789473684209</v>
      </c>
      <c r="Q51" s="59">
        <f t="shared" si="6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7">IFERROR(J50/I50-1,0)</f>
        <v>5.0000000000000044E-2</v>
      </c>
      <c r="K52" s="57">
        <f t="shared" si="7"/>
        <v>6.0000000000000053E-2</v>
      </c>
      <c r="L52" s="57">
        <f t="shared" si="7"/>
        <v>7.0000000000000062E-2</v>
      </c>
      <c r="M52" s="57">
        <f t="shared" si="7"/>
        <v>6.0000000000000053E-2</v>
      </c>
      <c r="N52" s="57">
        <f t="shared" si="7"/>
        <v>5.0000000000000044E-2</v>
      </c>
      <c r="O52" s="57">
        <f t="shared" si="7"/>
        <v>4.0000000000000036E-2</v>
      </c>
      <c r="P52" s="57">
        <f t="shared" si="7"/>
        <v>4.0000000000000036E-2</v>
      </c>
      <c r="Q52" s="57">
        <f t="shared" si="7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8">-K47*K72</f>
        <v>-18.920999999999999</v>
      </c>
      <c r="L54" s="49">
        <f t="shared" si="8"/>
        <v>-20.245470000000001</v>
      </c>
      <c r="M54" s="49">
        <f t="shared" si="8"/>
        <v>-21.460198200000001</v>
      </c>
      <c r="N54" s="49">
        <f t="shared" si="8"/>
        <v>-22.533208110000004</v>
      </c>
      <c r="O54" s="49">
        <f t="shared" si="8"/>
        <v>-23.434536434400002</v>
      </c>
      <c r="P54" s="49">
        <f t="shared" si="8"/>
        <v>-24.371917891776004</v>
      </c>
      <c r="Q54" s="49">
        <f t="shared" si="8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>J54+J50</f>
        <v>76.650000000000006</v>
      </c>
      <c r="K55" s="51">
        <f t="shared" ref="K55:Q55" si="9">K54+K50</f>
        <v>81.248999999999995</v>
      </c>
      <c r="L55" s="51">
        <f t="shared" si="9"/>
        <v>86.936430000000016</v>
      </c>
      <c r="M55" s="51">
        <f t="shared" si="9"/>
        <v>92.152615800000007</v>
      </c>
      <c r="N55" s="51">
        <f t="shared" si="9"/>
        <v>96.760246590000008</v>
      </c>
      <c r="O55" s="51">
        <f t="shared" si="9"/>
        <v>100.63065645360001</v>
      </c>
      <c r="P55" s="51">
        <f t="shared" si="9"/>
        <v>104.655882711744</v>
      </c>
      <c r="Q55" s="51">
        <f t="shared" si="9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:Q56" si="10">IFERROR(J55/J$47,0)</f>
        <v>0.21345029239766083</v>
      </c>
      <c r="K56" s="59">
        <f t="shared" si="10"/>
        <v>0.21345029239766081</v>
      </c>
      <c r="L56" s="59">
        <f t="shared" si="10"/>
        <v>0.21345029239766083</v>
      </c>
      <c r="M56" s="59">
        <f t="shared" si="10"/>
        <v>0.21345029239766081</v>
      </c>
      <c r="N56" s="59">
        <f t="shared" si="10"/>
        <v>0.21345029239766081</v>
      </c>
      <c r="O56" s="59">
        <f t="shared" si="10"/>
        <v>0.21345029239766081</v>
      </c>
      <c r="P56" s="59">
        <f t="shared" si="10"/>
        <v>0.21345029239766078</v>
      </c>
      <c r="Q56" s="59">
        <f t="shared" si="10"/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1">IFERROR(J55/I55-1,0)</f>
        <v>5.0000000000000044E-2</v>
      </c>
      <c r="K57" s="57">
        <f t="shared" si="11"/>
        <v>5.9999999999999831E-2</v>
      </c>
      <c r="L57" s="57">
        <f t="shared" si="11"/>
        <v>7.0000000000000284E-2</v>
      </c>
      <c r="M57" s="57">
        <f t="shared" si="11"/>
        <v>5.9999999999999831E-2</v>
      </c>
      <c r="N57" s="57">
        <f t="shared" si="11"/>
        <v>5.0000000000000044E-2</v>
      </c>
      <c r="O57" s="57">
        <f t="shared" si="11"/>
        <v>4.0000000000000036E-2</v>
      </c>
      <c r="P57" s="57">
        <f t="shared" si="11"/>
        <v>3.9999999999999813E-2</v>
      </c>
      <c r="Q57" s="57">
        <f t="shared" si="11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/>
      <c r="K59" s="49"/>
      <c r="L59" s="49"/>
      <c r="M59" s="49"/>
      <c r="N59" s="49"/>
      <c r="O59" s="49"/>
      <c r="P59" s="49"/>
      <c r="Q59" s="49"/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>J59+J55</f>
        <v>76.650000000000006</v>
      </c>
      <c r="K60" s="51">
        <f t="shared" ref="K60:Q60" si="12">K59+K55</f>
        <v>81.248999999999995</v>
      </c>
      <c r="L60" s="51">
        <f t="shared" si="12"/>
        <v>86.936430000000016</v>
      </c>
      <c r="M60" s="51">
        <f t="shared" si="12"/>
        <v>92.152615800000007</v>
      </c>
      <c r="N60" s="51">
        <f t="shared" si="12"/>
        <v>96.760246590000008</v>
      </c>
      <c r="O60" s="51">
        <f t="shared" si="12"/>
        <v>100.63065645360001</v>
      </c>
      <c r="P60" s="51">
        <f t="shared" si="12"/>
        <v>104.655882711744</v>
      </c>
      <c r="Q60" s="51">
        <f t="shared" si="12"/>
        <v>108.84211802021377</v>
      </c>
    </row>
    <row r="61" spans="2:17" x14ac:dyDescent="0.2">
      <c r="B61" s="20"/>
    </row>
    <row r="62" spans="2:17" x14ac:dyDescent="0.2">
      <c r="B62" s="20" t="s">
        <v>96</v>
      </c>
      <c r="J62" s="49">
        <f>-J60*$H$36</f>
        <v>-26.827500000000001</v>
      </c>
      <c r="K62" s="49">
        <f t="shared" ref="K62:Q62" si="13">-K60*$H$36</f>
        <v>-28.437149999999995</v>
      </c>
      <c r="L62" s="49">
        <f t="shared" si="13"/>
        <v>-30.427750500000002</v>
      </c>
      <c r="M62" s="49">
        <f t="shared" si="13"/>
        <v>-32.253415529999998</v>
      </c>
      <c r="N62" s="49">
        <f t="shared" si="13"/>
        <v>-33.866086306500002</v>
      </c>
      <c r="O62" s="49">
        <f t="shared" si="13"/>
        <v>-35.220729758760001</v>
      </c>
      <c r="P62" s="49">
        <f t="shared" si="13"/>
        <v>-36.629558949110397</v>
      </c>
      <c r="Q62" s="49">
        <f t="shared" si="13"/>
        <v>-38.09474130707482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>J62+J60</f>
        <v>49.822500000000005</v>
      </c>
      <c r="K63" s="51">
        <f t="shared" ref="K63:Q63" si="14">K62+K60</f>
        <v>52.81185</v>
      </c>
      <c r="L63" s="51">
        <f t="shared" si="14"/>
        <v>56.508679500000014</v>
      </c>
      <c r="M63" s="51">
        <f t="shared" si="14"/>
        <v>59.899200270000009</v>
      </c>
      <c r="N63" s="51">
        <f t="shared" si="14"/>
        <v>62.894160283500007</v>
      </c>
      <c r="O63" s="51">
        <f t="shared" si="14"/>
        <v>65.40992669484001</v>
      </c>
      <c r="P63" s="51">
        <f t="shared" si="14"/>
        <v>68.026323762633609</v>
      </c>
      <c r="Q63" s="51">
        <f t="shared" si="14"/>
        <v>70.747376713138948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:Q64" si="15">IFERROR(J63/J$47,0)</f>
        <v>0.13874269005847953</v>
      </c>
      <c r="K64" s="59">
        <f t="shared" si="15"/>
        <v>0.13874269005847953</v>
      </c>
      <c r="L64" s="59">
        <f t="shared" si="15"/>
        <v>0.13874269005847956</v>
      </c>
      <c r="M64" s="59">
        <f t="shared" si="15"/>
        <v>0.13874269005847953</v>
      </c>
      <c r="N64" s="59">
        <f t="shared" si="15"/>
        <v>0.13874269005847953</v>
      </c>
      <c r="O64" s="59">
        <f t="shared" si="15"/>
        <v>0.13874269005847953</v>
      </c>
      <c r="P64" s="59">
        <f t="shared" si="15"/>
        <v>0.13874269005847953</v>
      </c>
      <c r="Q64" s="59">
        <f t="shared" si="15"/>
        <v>0.13874269005847953</v>
      </c>
    </row>
    <row r="65" spans="1:24" x14ac:dyDescent="0.2">
      <c r="C65" s="8" t="s">
        <v>89</v>
      </c>
      <c r="I65" s="57">
        <f>IFERROR(I63/H63-1,0)</f>
        <v>0</v>
      </c>
      <c r="J65" s="57">
        <f t="shared" ref="J65:Q65" si="16">IFERROR(J63/I63-1,0)</f>
        <v>0</v>
      </c>
      <c r="K65" s="57">
        <f t="shared" si="16"/>
        <v>5.9999999999999831E-2</v>
      </c>
      <c r="L65" s="57">
        <f t="shared" si="16"/>
        <v>7.0000000000000284E-2</v>
      </c>
      <c r="M65" s="57">
        <f t="shared" si="16"/>
        <v>5.9999999999999831E-2</v>
      </c>
      <c r="N65" s="57">
        <f t="shared" si="16"/>
        <v>5.0000000000000044E-2</v>
      </c>
      <c r="O65" s="57">
        <f t="shared" si="16"/>
        <v>4.0000000000000036E-2</v>
      </c>
      <c r="P65" s="57">
        <f t="shared" si="16"/>
        <v>4.0000000000000036E-2</v>
      </c>
      <c r="Q65" s="57">
        <f t="shared" si="16"/>
        <v>3.9999999999999813E-2</v>
      </c>
    </row>
    <row r="68" spans="1:24" x14ac:dyDescent="0.2">
      <c r="B68" s="22" t="s">
        <v>98</v>
      </c>
      <c r="J68" s="63"/>
    </row>
    <row r="69" spans="1:24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17">O69</f>
        <v>0.04</v>
      </c>
      <c r="Q69" s="61">
        <f t="shared" si="17"/>
        <v>0.04</v>
      </c>
    </row>
    <row r="70" spans="1:24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3" si="18">J70</f>
        <v>0.4</v>
      </c>
      <c r="L70" s="61">
        <f t="shared" si="18"/>
        <v>0.4</v>
      </c>
      <c r="M70" s="61">
        <f t="shared" si="18"/>
        <v>0.4</v>
      </c>
      <c r="N70" s="61">
        <f t="shared" si="18"/>
        <v>0.4</v>
      </c>
      <c r="O70" s="61">
        <f t="shared" si="18"/>
        <v>0.4</v>
      </c>
      <c r="P70" s="61">
        <f t="shared" si="18"/>
        <v>0.4</v>
      </c>
      <c r="Q70" s="61">
        <f t="shared" si="18"/>
        <v>0.4</v>
      </c>
    </row>
    <row r="71" spans="1:24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si="18"/>
        <v>0.26315789473684209</v>
      </c>
      <c r="L71" s="62">
        <f t="shared" si="18"/>
        <v>0.26315789473684209</v>
      </c>
      <c r="M71" s="62">
        <f t="shared" si="18"/>
        <v>0.26315789473684209</v>
      </c>
      <c r="N71" s="62">
        <f t="shared" si="18"/>
        <v>0.26315789473684209</v>
      </c>
      <c r="O71" s="62">
        <f t="shared" si="18"/>
        <v>0.26315789473684209</v>
      </c>
      <c r="P71" s="62">
        <f t="shared" si="18"/>
        <v>0.26315789473684209</v>
      </c>
      <c r="Q71" s="62">
        <f t="shared" si="18"/>
        <v>0.26315789473684209</v>
      </c>
    </row>
    <row r="72" spans="1:24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si="18"/>
        <v>4.9707602339181284E-2</v>
      </c>
      <c r="L72" s="62">
        <f t="shared" si="18"/>
        <v>4.9707602339181284E-2</v>
      </c>
      <c r="M72" s="62">
        <f t="shared" si="18"/>
        <v>4.9707602339181284E-2</v>
      </c>
      <c r="N72" s="62">
        <f t="shared" si="18"/>
        <v>4.9707602339181284E-2</v>
      </c>
      <c r="O72" s="62">
        <f t="shared" si="18"/>
        <v>4.9707602339181284E-2</v>
      </c>
      <c r="P72" s="62">
        <f t="shared" si="18"/>
        <v>4.9707602339181284E-2</v>
      </c>
      <c r="Q72" s="62">
        <f t="shared" si="18"/>
        <v>4.9707602339181284E-2</v>
      </c>
    </row>
    <row r="73" spans="1:24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si="18"/>
        <v>4.9707602339181284E-2</v>
      </c>
      <c r="L73" s="76">
        <f t="shared" si="18"/>
        <v>4.9707602339181284E-2</v>
      </c>
      <c r="M73" s="76">
        <f t="shared" si="18"/>
        <v>4.9707602339181284E-2</v>
      </c>
      <c r="N73" s="76">
        <f t="shared" si="18"/>
        <v>4.9707602339181284E-2</v>
      </c>
      <c r="O73" s="76">
        <f t="shared" si="18"/>
        <v>4.9707602339181284E-2</v>
      </c>
      <c r="P73" s="76">
        <f t="shared" si="18"/>
        <v>4.9707602339181284E-2</v>
      </c>
      <c r="Q73" s="76">
        <f t="shared" si="18"/>
        <v>4.9707602339181284E-2</v>
      </c>
    </row>
    <row r="74" spans="1:24" x14ac:dyDescent="0.2">
      <c r="H74" s="63"/>
      <c r="I74" s="63"/>
    </row>
    <row r="75" spans="1:24" x14ac:dyDescent="0.2">
      <c r="H75" s="63"/>
      <c r="I75" s="63"/>
    </row>
    <row r="76" spans="1:24" x14ac:dyDescent="0.2">
      <c r="H76" s="63"/>
      <c r="I76" s="63"/>
    </row>
    <row r="77" spans="1:24" x14ac:dyDescent="0.2">
      <c r="A77" s="5" t="s">
        <v>35</v>
      </c>
      <c r="B77" s="6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B78" s="8" t="s">
        <v>37</v>
      </c>
    </row>
    <row r="80" spans="1:24" x14ac:dyDescent="0.2">
      <c r="B80" s="8" t="s">
        <v>88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/>
      <c r="I84" s="82">
        <f>I47</f>
        <v>342</v>
      </c>
      <c r="J84" s="82">
        <f t="shared" ref="J84:Q84" si="19">J47</f>
        <v>359.1</v>
      </c>
      <c r="K84" s="82">
        <f t="shared" si="19"/>
        <v>380.64600000000002</v>
      </c>
      <c r="L84" s="82">
        <f t="shared" si="19"/>
        <v>407.29122000000007</v>
      </c>
      <c r="M84" s="82">
        <f t="shared" si="19"/>
        <v>431.72869320000007</v>
      </c>
      <c r="N84" s="82">
        <f t="shared" si="19"/>
        <v>453.31512786000008</v>
      </c>
      <c r="O84" s="82">
        <f t="shared" si="19"/>
        <v>471.44773297440008</v>
      </c>
      <c r="P84" s="82">
        <f t="shared" si="19"/>
        <v>490.30564229337608</v>
      </c>
      <c r="Q84" s="82">
        <f t="shared" si="19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/>
      <c r="I85" s="87">
        <f>I84*I70</f>
        <v>136.80000000000001</v>
      </c>
      <c r="J85" s="87">
        <f t="shared" ref="J85:Q85" si="20">J84*J70</f>
        <v>143.64000000000001</v>
      </c>
      <c r="K85" s="87">
        <f t="shared" si="20"/>
        <v>152.25840000000002</v>
      </c>
      <c r="L85" s="87">
        <f t="shared" si="20"/>
        <v>162.91648800000004</v>
      </c>
      <c r="M85" s="87">
        <f t="shared" si="20"/>
        <v>172.69147728000004</v>
      </c>
      <c r="N85" s="87">
        <f t="shared" si="20"/>
        <v>181.32605114400005</v>
      </c>
      <c r="O85" s="87">
        <f t="shared" si="20"/>
        <v>188.57909318976004</v>
      </c>
      <c r="P85" s="87">
        <f t="shared" si="20"/>
        <v>196.12225691735046</v>
      </c>
      <c r="Q85" s="87">
        <f t="shared" si="20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I98/I84*F87</f>
        <v>94.73684210526315</v>
      </c>
      <c r="J88" s="92">
        <f>I88</f>
        <v>94.73684210526315</v>
      </c>
      <c r="K88" s="92">
        <f t="shared" ref="K88:Q88" si="21">J88</f>
        <v>94.73684210526315</v>
      </c>
      <c r="L88" s="92">
        <f t="shared" si="21"/>
        <v>94.73684210526315</v>
      </c>
      <c r="M88" s="92">
        <f t="shared" si="21"/>
        <v>94.73684210526315</v>
      </c>
      <c r="N88" s="92">
        <f t="shared" si="21"/>
        <v>94.73684210526315</v>
      </c>
      <c r="O88" s="92">
        <f t="shared" si="21"/>
        <v>94.73684210526315</v>
      </c>
      <c r="P88" s="92">
        <f t="shared" si="21"/>
        <v>94.73684210526315</v>
      </c>
      <c r="Q88" s="92">
        <f t="shared" si="21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I99/I85*F87</f>
        <v>118.42105263157893</v>
      </c>
      <c r="J89" s="93">
        <f t="shared" ref="J89:Q90" si="22">I89</f>
        <v>118.42105263157893</v>
      </c>
      <c r="K89" s="93">
        <f t="shared" si="22"/>
        <v>118.42105263157893</v>
      </c>
      <c r="L89" s="93">
        <f t="shared" si="22"/>
        <v>118.42105263157893</v>
      </c>
      <c r="M89" s="93">
        <f t="shared" si="22"/>
        <v>118.42105263157893</v>
      </c>
      <c r="N89" s="93">
        <f t="shared" si="22"/>
        <v>118.42105263157893</v>
      </c>
      <c r="O89" s="93">
        <f t="shared" si="22"/>
        <v>118.42105263157893</v>
      </c>
      <c r="P89" s="93">
        <f t="shared" si="22"/>
        <v>118.42105263157893</v>
      </c>
      <c r="Q89" s="93">
        <f t="shared" si="22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I103/I85*F87</f>
        <v>115.78947368421052</v>
      </c>
      <c r="J90" s="94">
        <f t="shared" si="22"/>
        <v>115.78947368421052</v>
      </c>
      <c r="K90" s="94">
        <f t="shared" si="22"/>
        <v>115.78947368421052</v>
      </c>
      <c r="L90" s="94">
        <f t="shared" si="22"/>
        <v>115.78947368421052</v>
      </c>
      <c r="M90" s="94">
        <f t="shared" si="22"/>
        <v>115.78947368421052</v>
      </c>
      <c r="N90" s="94">
        <f t="shared" si="22"/>
        <v>115.78947368421052</v>
      </c>
      <c r="O90" s="94">
        <f t="shared" si="22"/>
        <v>115.78947368421052</v>
      </c>
      <c r="P90" s="94">
        <f t="shared" si="22"/>
        <v>115.78947368421052</v>
      </c>
      <c r="Q90" s="94">
        <f t="shared" si="22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 t="shared" ref="J91:Q91" si="23">J88+J89-J90</f>
        <v>97.368421052631561</v>
      </c>
      <c r="K91" s="95">
        <f t="shared" si="23"/>
        <v>97.368421052631561</v>
      </c>
      <c r="L91" s="95">
        <f t="shared" si="23"/>
        <v>97.368421052631561</v>
      </c>
      <c r="M91" s="95">
        <f t="shared" si="23"/>
        <v>97.368421052631561</v>
      </c>
      <c r="N91" s="95">
        <f t="shared" si="23"/>
        <v>97.368421052631561</v>
      </c>
      <c r="O91" s="95">
        <f t="shared" si="23"/>
        <v>97.368421052631561</v>
      </c>
      <c r="P91" s="95">
        <f t="shared" si="23"/>
        <v>97.368421052631561</v>
      </c>
      <c r="Q91" s="95">
        <f t="shared" si="23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24">J93</f>
        <v>2.046783625730994E-2</v>
      </c>
      <c r="L93" s="61">
        <f t="shared" si="24"/>
        <v>2.046783625730994E-2</v>
      </c>
      <c r="M93" s="61">
        <f t="shared" si="24"/>
        <v>2.046783625730994E-2</v>
      </c>
      <c r="N93" s="61">
        <f t="shared" si="24"/>
        <v>2.046783625730994E-2</v>
      </c>
      <c r="O93" s="61">
        <f t="shared" si="24"/>
        <v>2.046783625730994E-2</v>
      </c>
      <c r="P93" s="61">
        <f t="shared" si="24"/>
        <v>2.046783625730994E-2</v>
      </c>
      <c r="Q93" s="61">
        <f t="shared" si="24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 t="shared" ref="J94:Q95" si="25">I94</f>
        <v>0.10818713450292397</v>
      </c>
      <c r="K94" s="62">
        <f t="shared" si="25"/>
        <v>0.10818713450292397</v>
      </c>
      <c r="L94" s="62">
        <f t="shared" si="25"/>
        <v>0.10818713450292397</v>
      </c>
      <c r="M94" s="62">
        <f t="shared" si="25"/>
        <v>0.10818713450292397</v>
      </c>
      <c r="N94" s="62">
        <f t="shared" si="25"/>
        <v>0.10818713450292397</v>
      </c>
      <c r="O94" s="62">
        <f t="shared" si="25"/>
        <v>0.10818713450292397</v>
      </c>
      <c r="P94" s="62">
        <f t="shared" si="25"/>
        <v>0.10818713450292397</v>
      </c>
      <c r="Q94" s="62">
        <f t="shared" si="25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si="25"/>
        <v>8.771929824561403E-3</v>
      </c>
      <c r="K95" s="76">
        <f t="shared" si="25"/>
        <v>8.771929824561403E-3</v>
      </c>
      <c r="L95" s="76">
        <f t="shared" si="25"/>
        <v>8.771929824561403E-3</v>
      </c>
      <c r="M95" s="76">
        <f t="shared" si="25"/>
        <v>8.771929824561403E-3</v>
      </c>
      <c r="N95" s="76">
        <f t="shared" si="25"/>
        <v>8.771929824561403E-3</v>
      </c>
      <c r="O95" s="76">
        <f t="shared" si="25"/>
        <v>8.771929824561403E-3</v>
      </c>
      <c r="P95" s="76">
        <f t="shared" si="25"/>
        <v>8.771929824561403E-3</v>
      </c>
      <c r="Q95" s="76">
        <f t="shared" si="25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9" si="26">K88/$F$87*K84</f>
        <v>100.17</v>
      </c>
      <c r="L98" s="82">
        <f t="shared" si="26"/>
        <v>107.18190000000001</v>
      </c>
      <c r="M98" s="82">
        <f t="shared" si="26"/>
        <v>113.61281400000001</v>
      </c>
      <c r="N98" s="82">
        <f t="shared" si="26"/>
        <v>119.29345470000001</v>
      </c>
      <c r="O98" s="82">
        <f t="shared" si="26"/>
        <v>124.06519288800001</v>
      </c>
      <c r="P98" s="82">
        <f t="shared" si="26"/>
        <v>129.02780060352001</v>
      </c>
      <c r="Q98" s="82">
        <f t="shared" si="26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 t="shared" ref="I99:I100" si="27">H121</f>
        <v>45</v>
      </c>
      <c r="J99" s="72">
        <f>J89/$F$87*J85</f>
        <v>47.25</v>
      </c>
      <c r="K99" s="72">
        <f t="shared" si="26"/>
        <v>50.085000000000001</v>
      </c>
      <c r="L99" s="72">
        <f t="shared" si="26"/>
        <v>53.590950000000007</v>
      </c>
      <c r="M99" s="72">
        <f t="shared" si="26"/>
        <v>56.806407000000007</v>
      </c>
      <c r="N99" s="72">
        <f t="shared" si="26"/>
        <v>59.646727350000006</v>
      </c>
      <c r="O99" s="72">
        <f t="shared" si="26"/>
        <v>62.032596444000006</v>
      </c>
      <c r="P99" s="72">
        <f t="shared" si="26"/>
        <v>64.513900301760017</v>
      </c>
      <c r="Q99" s="72">
        <f t="shared" si="26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 t="shared" si="27"/>
        <v>7</v>
      </c>
      <c r="J100" s="73">
        <f>J93*J84</f>
        <v>7.35</v>
      </c>
      <c r="K100" s="73">
        <f t="shared" ref="K100:Q100" si="28">K93*K84</f>
        <v>7.7909999999999995</v>
      </c>
      <c r="L100" s="73">
        <f t="shared" si="28"/>
        <v>8.3363700000000005</v>
      </c>
      <c r="M100" s="73">
        <f t="shared" si="28"/>
        <v>8.8365522000000016</v>
      </c>
      <c r="N100" s="73">
        <f t="shared" si="28"/>
        <v>9.2783798100000006</v>
      </c>
      <c r="O100" s="73">
        <f t="shared" si="28"/>
        <v>9.6495150024000012</v>
      </c>
      <c r="P100" s="73">
        <f t="shared" si="28"/>
        <v>10.035495602496001</v>
      </c>
      <c r="Q100" s="73">
        <f t="shared" si="28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29">SUM(K98:K100)</f>
        <v>158.04599999999999</v>
      </c>
      <c r="L101" s="51">
        <f t="shared" si="29"/>
        <v>169.10921999999999</v>
      </c>
      <c r="M101" s="51">
        <f t="shared" si="29"/>
        <v>179.25577320000002</v>
      </c>
      <c r="N101" s="51">
        <f t="shared" si="29"/>
        <v>188.21856186000002</v>
      </c>
      <c r="O101" s="51">
        <f t="shared" si="29"/>
        <v>195.74730433440001</v>
      </c>
      <c r="P101" s="51">
        <f t="shared" si="29"/>
        <v>203.57719650777605</v>
      </c>
      <c r="Q101" s="51">
        <f t="shared" si="29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30">K90/$F$87*K85</f>
        <v>48.972000000000001</v>
      </c>
      <c r="L103" s="82">
        <f t="shared" si="30"/>
        <v>52.400040000000011</v>
      </c>
      <c r="M103" s="82">
        <f t="shared" si="30"/>
        <v>55.544042400000009</v>
      </c>
      <c r="N103" s="82">
        <f t="shared" si="30"/>
        <v>58.321244520000015</v>
      </c>
      <c r="O103" s="82">
        <f t="shared" si="30"/>
        <v>60.654094300800011</v>
      </c>
      <c r="P103" s="82">
        <f t="shared" si="30"/>
        <v>63.080258072832017</v>
      </c>
      <c r="Q103" s="82">
        <f t="shared" si="30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31">H131</f>
        <v>37</v>
      </c>
      <c r="J104" s="72">
        <f>J94*J$84</f>
        <v>38.85</v>
      </c>
      <c r="K104" s="72">
        <f t="shared" ref="K104:Q104" si="32">K94*K$84</f>
        <v>41.180999999999997</v>
      </c>
      <c r="L104" s="72">
        <f t="shared" si="32"/>
        <v>44.063670000000002</v>
      </c>
      <c r="M104" s="72">
        <f t="shared" si="32"/>
        <v>46.707490200000002</v>
      </c>
      <c r="N104" s="72">
        <f t="shared" si="32"/>
        <v>49.042864710000003</v>
      </c>
      <c r="O104" s="72">
        <f t="shared" si="32"/>
        <v>51.004579298400003</v>
      </c>
      <c r="P104" s="72">
        <f t="shared" si="32"/>
        <v>53.044762470336003</v>
      </c>
      <c r="Q104" s="72">
        <f t="shared" si="32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31"/>
        <v>3</v>
      </c>
      <c r="J105" s="73">
        <f t="shared" ref="J105:Q105" si="33">J95*J$84</f>
        <v>3.15</v>
      </c>
      <c r="K105" s="73">
        <f t="shared" si="33"/>
        <v>3.339</v>
      </c>
      <c r="L105" s="73">
        <f t="shared" si="33"/>
        <v>3.5727300000000004</v>
      </c>
      <c r="M105" s="73">
        <f t="shared" si="33"/>
        <v>3.7870938000000005</v>
      </c>
      <c r="N105" s="73">
        <f t="shared" si="33"/>
        <v>3.9764484900000006</v>
      </c>
      <c r="O105" s="73">
        <f t="shared" si="33"/>
        <v>4.1355064296000004</v>
      </c>
      <c r="P105" s="73">
        <f t="shared" si="33"/>
        <v>4.3009266867840008</v>
      </c>
      <c r="Q105" s="73">
        <f t="shared" si="33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34">SUM(K103:K105)</f>
        <v>93.49199999999999</v>
      </c>
      <c r="L106" s="51">
        <f t="shared" si="34"/>
        <v>100.03644000000003</v>
      </c>
      <c r="M106" s="51">
        <f t="shared" si="34"/>
        <v>106.03862640000001</v>
      </c>
      <c r="N106" s="51">
        <f t="shared" si="34"/>
        <v>111.34055772000002</v>
      </c>
      <c r="O106" s="51">
        <f t="shared" si="34"/>
        <v>115.79418002880001</v>
      </c>
      <c r="P106" s="51">
        <f t="shared" si="34"/>
        <v>120.42594722995202</v>
      </c>
      <c r="Q106" s="51">
        <f t="shared" si="34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 t="shared" ref="J108:Q108" si="35">J101-J106</f>
        <v>60.899999999999977</v>
      </c>
      <c r="K108" s="51">
        <f t="shared" si="35"/>
        <v>64.554000000000002</v>
      </c>
      <c r="L108" s="51">
        <f t="shared" si="35"/>
        <v>69.072779999999966</v>
      </c>
      <c r="M108" s="51">
        <f t="shared" si="35"/>
        <v>73.217146800000009</v>
      </c>
      <c r="N108" s="51">
        <f t="shared" si="35"/>
        <v>76.878004140000002</v>
      </c>
      <c r="O108" s="51">
        <f t="shared" si="35"/>
        <v>79.953124305599999</v>
      </c>
      <c r="P108" s="51">
        <f t="shared" si="35"/>
        <v>83.151249277824036</v>
      </c>
      <c r="Q108" s="51">
        <f t="shared" si="35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36">J108-K108</f>
        <v>-3.6540000000000248</v>
      </c>
      <c r="L109" s="49">
        <f t="shared" si="36"/>
        <v>-4.518779999999964</v>
      </c>
      <c r="M109" s="49">
        <f t="shared" si="36"/>
        <v>-4.1443668000000429</v>
      </c>
      <c r="N109" s="49">
        <f t="shared" si="36"/>
        <v>-3.6608573399999926</v>
      </c>
      <c r="O109" s="49">
        <f t="shared" si="36"/>
        <v>-3.0751201655999978</v>
      </c>
      <c r="P109" s="49">
        <f t="shared" si="36"/>
        <v>-3.1981249722240364</v>
      </c>
      <c r="Q109" s="49">
        <f t="shared" si="36"/>
        <v>-3.326049971112937</v>
      </c>
    </row>
    <row r="113" spans="1:24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">
      <c r="B114" s="8" t="s">
        <v>37</v>
      </c>
    </row>
    <row r="116" spans="1:24" x14ac:dyDescent="0.2">
      <c r="B116" s="8" t="s">
        <v>88</v>
      </c>
      <c r="H116" s="53">
        <v>42735</v>
      </c>
      <c r="I116" s="140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4" ht="3" customHeight="1" x14ac:dyDescent="0.2"/>
    <row r="118" spans="1:24" x14ac:dyDescent="0.2">
      <c r="B118" s="22" t="s">
        <v>103</v>
      </c>
    </row>
    <row r="119" spans="1:24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/>
      <c r="K119" s="82"/>
      <c r="L119" s="82"/>
      <c r="M119" s="82"/>
      <c r="N119" s="82"/>
      <c r="O119" s="82"/>
      <c r="P119" s="82"/>
      <c r="Q119" s="82"/>
    </row>
    <row r="120" spans="1:24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/>
      <c r="K120" s="72"/>
      <c r="L120" s="72"/>
      <c r="M120" s="72"/>
      <c r="N120" s="72"/>
      <c r="O120" s="72"/>
      <c r="P120" s="72"/>
      <c r="Q120" s="72"/>
    </row>
    <row r="121" spans="1:24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 t="shared" ref="I121:I122" si="37">H121</f>
        <v>45</v>
      </c>
      <c r="J121" s="72"/>
      <c r="K121" s="72"/>
      <c r="L121" s="72"/>
      <c r="M121" s="72"/>
      <c r="N121" s="72"/>
      <c r="O121" s="72"/>
      <c r="P121" s="72"/>
      <c r="Q121" s="72"/>
    </row>
    <row r="122" spans="1:24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2">
        <f t="shared" si="37"/>
        <v>7</v>
      </c>
      <c r="J122" s="73"/>
      <c r="K122" s="73"/>
      <c r="L122" s="73"/>
      <c r="M122" s="73"/>
      <c r="N122" s="73"/>
      <c r="O122" s="73"/>
      <c r="P122" s="73"/>
      <c r="Q122" s="73"/>
    </row>
    <row r="123" spans="1:24" s="18" customFormat="1" x14ac:dyDescent="0.2">
      <c r="B123" s="9" t="s">
        <v>204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/>
      <c r="K123" s="51"/>
      <c r="L123" s="51"/>
      <c r="M123" s="51"/>
      <c r="N123" s="51"/>
      <c r="O123" s="51"/>
      <c r="P123" s="51"/>
      <c r="Q123" s="51"/>
    </row>
    <row r="124" spans="1:24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/>
      <c r="K124" s="72"/>
      <c r="L124" s="72"/>
      <c r="M124" s="72"/>
      <c r="N124" s="72"/>
      <c r="O124" s="72"/>
      <c r="P124" s="72"/>
      <c r="Q124" s="72"/>
    </row>
    <row r="125" spans="1:24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/>
      <c r="K125" s="72"/>
      <c r="L125" s="72"/>
      <c r="M125" s="72"/>
      <c r="N125" s="72"/>
      <c r="O125" s="72"/>
      <c r="P125" s="72"/>
      <c r="Q125" s="72"/>
    </row>
    <row r="126" spans="1:24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/>
      <c r="K126" s="73"/>
      <c r="L126" s="73"/>
      <c r="M126" s="73"/>
      <c r="N126" s="73"/>
      <c r="O126" s="73"/>
      <c r="P126" s="73"/>
      <c r="Q126" s="73"/>
    </row>
    <row r="127" spans="1:24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/>
      <c r="K127" s="51"/>
      <c r="L127" s="51"/>
      <c r="M127" s="51"/>
      <c r="N127" s="51"/>
      <c r="O127" s="51"/>
      <c r="P127" s="51"/>
      <c r="Q127" s="51"/>
    </row>
    <row r="129" spans="1:24" x14ac:dyDescent="0.2">
      <c r="B129" s="22" t="s">
        <v>107</v>
      </c>
    </row>
    <row r="130" spans="1:24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/>
      <c r="K130" s="82"/>
      <c r="L130" s="82"/>
      <c r="M130" s="82"/>
      <c r="N130" s="82"/>
      <c r="O130" s="82"/>
      <c r="P130" s="82"/>
      <c r="Q130" s="82"/>
    </row>
    <row r="131" spans="1:24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38">H131</f>
        <v>37</v>
      </c>
      <c r="J131" s="72"/>
      <c r="K131" s="72"/>
      <c r="L131" s="72"/>
      <c r="M131" s="72"/>
      <c r="N131" s="72"/>
      <c r="O131" s="72"/>
      <c r="P131" s="72"/>
      <c r="Q131" s="72"/>
    </row>
    <row r="132" spans="1:24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38"/>
        <v>3</v>
      </c>
      <c r="J132" s="73"/>
      <c r="K132" s="73"/>
      <c r="L132" s="73"/>
      <c r="M132" s="73"/>
      <c r="N132" s="73"/>
      <c r="O132" s="73"/>
      <c r="P132" s="73"/>
      <c r="Q132" s="73"/>
    </row>
    <row r="133" spans="1:24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/>
      <c r="K133" s="51"/>
      <c r="L133" s="51"/>
      <c r="M133" s="51"/>
      <c r="N133" s="51"/>
      <c r="O133" s="51"/>
      <c r="P133" s="51"/>
      <c r="Q133" s="51"/>
    </row>
    <row r="135" spans="1:24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/>
      <c r="K135" s="82"/>
      <c r="L135" s="82"/>
      <c r="M135" s="82"/>
      <c r="N135" s="82"/>
      <c r="O135" s="82"/>
      <c r="P135" s="82"/>
      <c r="Q135" s="82"/>
    </row>
    <row r="136" spans="1:24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/>
      <c r="K136" s="73"/>
      <c r="L136" s="73"/>
      <c r="M136" s="73"/>
      <c r="N136" s="73"/>
      <c r="O136" s="73"/>
      <c r="P136" s="73"/>
      <c r="Q136" s="73"/>
    </row>
    <row r="137" spans="1:24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/>
      <c r="K137" s="90"/>
      <c r="L137" s="90"/>
      <c r="M137" s="90"/>
      <c r="N137" s="90"/>
      <c r="O137" s="90"/>
      <c r="P137" s="90"/>
      <c r="Q137" s="90"/>
    </row>
    <row r="139" spans="1:24" x14ac:dyDescent="0.2">
      <c r="B139" s="3" t="s">
        <v>112</v>
      </c>
      <c r="H139" s="60">
        <v>160</v>
      </c>
      <c r="I139" s="49">
        <f>SUM(G15:G16)-G24</f>
        <v>220.9375</v>
      </c>
      <c r="J139" s="49"/>
      <c r="K139" s="49"/>
      <c r="L139" s="49"/>
      <c r="M139" s="49"/>
      <c r="N139" s="49"/>
      <c r="O139" s="49"/>
      <c r="P139" s="49"/>
      <c r="Q139" s="49"/>
    </row>
    <row r="140" spans="1:24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/>
      <c r="K140" s="51"/>
      <c r="L140" s="51"/>
      <c r="M140" s="51"/>
      <c r="N140" s="51"/>
      <c r="O140" s="51"/>
      <c r="P140" s="51"/>
      <c r="Q140" s="51"/>
    </row>
    <row r="141" spans="1:24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si="39">ROUND(J140,3) = ROUND(J127,3)</f>
        <v>1</v>
      </c>
      <c r="K141" s="91" t="b">
        <f t="shared" si="39"/>
        <v>1</v>
      </c>
      <c r="L141" s="91" t="b">
        <f t="shared" si="39"/>
        <v>1</v>
      </c>
      <c r="M141" s="91" t="b">
        <f t="shared" si="39"/>
        <v>1</v>
      </c>
      <c r="N141" s="91" t="b">
        <f t="shared" si="39"/>
        <v>1</v>
      </c>
      <c r="O141" s="91" t="b">
        <f t="shared" si="39"/>
        <v>1</v>
      </c>
      <c r="P141" s="91" t="b">
        <f t="shared" si="39"/>
        <v>1</v>
      </c>
      <c r="Q141" s="91" t="b">
        <f t="shared" si="39"/>
        <v>1</v>
      </c>
    </row>
    <row r="142" spans="1:24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4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>J63</f>
        <v>49.822500000000005</v>
      </c>
      <c r="K150" s="82">
        <f t="shared" ref="K150:Q150" si="40">K63</f>
        <v>52.81185</v>
      </c>
      <c r="L150" s="82">
        <f t="shared" si="40"/>
        <v>56.508679500000014</v>
      </c>
      <c r="M150" s="82">
        <f t="shared" si="40"/>
        <v>59.899200270000009</v>
      </c>
      <c r="N150" s="82">
        <f t="shared" si="40"/>
        <v>62.894160283500007</v>
      </c>
      <c r="O150" s="82">
        <f t="shared" si="40"/>
        <v>65.40992669484001</v>
      </c>
      <c r="P150" s="82">
        <f t="shared" si="40"/>
        <v>68.026323762633609</v>
      </c>
      <c r="Q150" s="82">
        <f t="shared" si="40"/>
        <v>70.747376713138948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41">-K54</f>
        <v>18.920999999999999</v>
      </c>
      <c r="L151" s="72">
        <f t="shared" si="41"/>
        <v>20.245470000000001</v>
      </c>
      <c r="M151" s="72">
        <f t="shared" si="41"/>
        <v>21.460198200000001</v>
      </c>
      <c r="N151" s="72">
        <f t="shared" si="41"/>
        <v>22.533208110000004</v>
      </c>
      <c r="O151" s="72">
        <f t="shared" si="41"/>
        <v>23.434536434400002</v>
      </c>
      <c r="P151" s="72">
        <f t="shared" si="41"/>
        <v>24.371917891776004</v>
      </c>
      <c r="Q151" s="72">
        <f t="shared" si="41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42">K109</f>
        <v>-3.6540000000000248</v>
      </c>
      <c r="L153" s="73">
        <f t="shared" si="42"/>
        <v>-4.518779999999964</v>
      </c>
      <c r="M153" s="73">
        <f t="shared" si="42"/>
        <v>-4.1443668000000429</v>
      </c>
      <c r="N153" s="73">
        <f t="shared" si="42"/>
        <v>-3.6608573399999926</v>
      </c>
      <c r="O153" s="73">
        <f t="shared" si="42"/>
        <v>-3.0751201655999978</v>
      </c>
      <c r="P153" s="73">
        <f t="shared" si="42"/>
        <v>-3.1981249722240364</v>
      </c>
      <c r="Q153" s="73">
        <f t="shared" si="42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>SUM(J150:J153)</f>
        <v>64.772500000000036</v>
      </c>
      <c r="K154" s="51">
        <f t="shared" ref="K154:Q154" si="43">SUM(K150:K153)</f>
        <v>68.078849999999974</v>
      </c>
      <c r="L154" s="51">
        <f t="shared" si="43"/>
        <v>72.235369500000047</v>
      </c>
      <c r="M154" s="51">
        <f t="shared" si="43"/>
        <v>77.215031669999959</v>
      </c>
      <c r="N154" s="51">
        <f t="shared" si="43"/>
        <v>81.766511053500025</v>
      </c>
      <c r="O154" s="51">
        <f t="shared" si="43"/>
        <v>85.769342963640014</v>
      </c>
      <c r="P154" s="51">
        <f t="shared" si="43"/>
        <v>89.20011668218558</v>
      </c>
      <c r="Q154" s="51">
        <f t="shared" si="43"/>
        <v>92.768121349473049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44">-K73*K47</f>
        <v>-18.920999999999999</v>
      </c>
      <c r="L155" s="50">
        <f t="shared" si="44"/>
        <v>-20.245470000000001</v>
      </c>
      <c r="M155" s="50">
        <f t="shared" si="44"/>
        <v>-21.460198200000001</v>
      </c>
      <c r="N155" s="50">
        <f t="shared" si="44"/>
        <v>-22.533208110000004</v>
      </c>
      <c r="O155" s="50">
        <f t="shared" si="44"/>
        <v>-23.434536434400002</v>
      </c>
      <c r="P155" s="50">
        <f t="shared" si="44"/>
        <v>-24.371917891776004</v>
      </c>
      <c r="Q155" s="50">
        <f t="shared" si="44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>SUM(J154:J155)</f>
        <v>46.922500000000035</v>
      </c>
      <c r="K156" s="51">
        <f t="shared" ref="K156:Q156" si="45">SUM(K154:K155)</f>
        <v>49.157849999999975</v>
      </c>
      <c r="L156" s="51">
        <f t="shared" si="45"/>
        <v>51.98989950000005</v>
      </c>
      <c r="M156" s="51">
        <f t="shared" si="45"/>
        <v>55.754833469999959</v>
      </c>
      <c r="N156" s="51">
        <f t="shared" si="45"/>
        <v>59.233302943500021</v>
      </c>
      <c r="O156" s="51">
        <f t="shared" si="45"/>
        <v>62.334806529240012</v>
      </c>
      <c r="P156" s="51">
        <f t="shared" si="45"/>
        <v>64.828198790409573</v>
      </c>
      <c r="Q156" s="51">
        <f t="shared" si="45"/>
        <v>67.421326742026011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si="46">J167</f>
        <v>51.922500000000035</v>
      </c>
      <c r="L158" s="82">
        <f t="shared" si="46"/>
        <v>101.08035000000001</v>
      </c>
      <c r="M158" s="82">
        <f t="shared" si="46"/>
        <v>153.07024950000005</v>
      </c>
      <c r="N158" s="82">
        <f t="shared" si="46"/>
        <v>208.82508297000001</v>
      </c>
      <c r="O158" s="82">
        <f t="shared" si="46"/>
        <v>268.05838591350005</v>
      </c>
      <c r="P158" s="82">
        <f t="shared" si="46"/>
        <v>330.39319244274009</v>
      </c>
      <c r="Q158" s="82">
        <f t="shared" si="46"/>
        <v>395.22139123314969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>J156</f>
        <v>46.922500000000035</v>
      </c>
      <c r="K159" s="72">
        <f t="shared" ref="K159:Q159" si="47">K156</f>
        <v>49.157849999999975</v>
      </c>
      <c r="L159" s="72">
        <f t="shared" si="47"/>
        <v>51.98989950000005</v>
      </c>
      <c r="M159" s="72">
        <f t="shared" si="47"/>
        <v>55.754833469999959</v>
      </c>
      <c r="N159" s="72">
        <f t="shared" si="47"/>
        <v>59.233302943500021</v>
      </c>
      <c r="O159" s="72">
        <f t="shared" si="47"/>
        <v>62.334806529240012</v>
      </c>
      <c r="P159" s="72">
        <f t="shared" si="47"/>
        <v>64.828198790409573</v>
      </c>
      <c r="Q159" s="72">
        <f t="shared" si="47"/>
        <v>67.421326742026011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48">-$H$32</f>
        <v>-5</v>
      </c>
      <c r="L160" s="73">
        <f t="shared" si="48"/>
        <v>-5</v>
      </c>
      <c r="M160" s="73">
        <f t="shared" si="48"/>
        <v>-5</v>
      </c>
      <c r="N160" s="73">
        <f t="shared" si="48"/>
        <v>-5</v>
      </c>
      <c r="O160" s="73">
        <f t="shared" si="48"/>
        <v>-5</v>
      </c>
      <c r="P160" s="73">
        <f t="shared" si="48"/>
        <v>-5</v>
      </c>
      <c r="Q160" s="73">
        <f t="shared" si="48"/>
        <v>-5</v>
      </c>
    </row>
    <row r="161" spans="1:24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>SUM(J158:J160)</f>
        <v>46.922500000000035</v>
      </c>
      <c r="K161" s="51">
        <f t="shared" ref="K161:Q161" si="49">SUM(K158:K160)</f>
        <v>96.08035000000001</v>
      </c>
      <c r="L161" s="51">
        <f t="shared" si="49"/>
        <v>148.07024950000005</v>
      </c>
      <c r="M161" s="51">
        <f t="shared" si="49"/>
        <v>203.82508297000001</v>
      </c>
      <c r="N161" s="51">
        <f t="shared" si="49"/>
        <v>263.05838591350005</v>
      </c>
      <c r="O161" s="51">
        <f t="shared" si="49"/>
        <v>325.39319244274009</v>
      </c>
      <c r="P161" s="51">
        <f t="shared" si="49"/>
        <v>390.22139123314969</v>
      </c>
      <c r="Q161" s="51">
        <f t="shared" si="49"/>
        <v>457.64271797517569</v>
      </c>
    </row>
    <row r="162" spans="1:24" x14ac:dyDescent="0.2">
      <c r="B162" s="20"/>
    </row>
    <row r="163" spans="1:24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/>
      <c r="K163" s="82"/>
      <c r="L163" s="82"/>
      <c r="M163" s="82"/>
      <c r="N163" s="82"/>
      <c r="O163" s="82"/>
      <c r="P163" s="82"/>
      <c r="Q163" s="82"/>
    </row>
    <row r="164" spans="1:24" x14ac:dyDescent="0.2">
      <c r="B164" s="20" t="s">
        <v>136</v>
      </c>
      <c r="J164" s="50"/>
      <c r="K164" s="50"/>
      <c r="L164" s="50"/>
      <c r="M164" s="50"/>
      <c r="N164" s="50"/>
      <c r="O164" s="50"/>
      <c r="P164" s="50"/>
      <c r="Q164" s="50"/>
    </row>
    <row r="165" spans="1:24" x14ac:dyDescent="0.2">
      <c r="B165" s="20"/>
    </row>
    <row r="166" spans="1:24" x14ac:dyDescent="0.2">
      <c r="B166" s="20" t="s">
        <v>143</v>
      </c>
      <c r="J166" s="49">
        <f>-J160</f>
        <v>5</v>
      </c>
      <c r="K166" s="49">
        <f t="shared" ref="K166:Q166" si="50">-K160</f>
        <v>5</v>
      </c>
      <c r="L166" s="49">
        <f t="shared" si="50"/>
        <v>5</v>
      </c>
      <c r="M166" s="49">
        <f t="shared" si="50"/>
        <v>5</v>
      </c>
      <c r="N166" s="49">
        <f t="shared" si="50"/>
        <v>5</v>
      </c>
      <c r="O166" s="49">
        <f t="shared" si="50"/>
        <v>5</v>
      </c>
      <c r="P166" s="49">
        <f t="shared" si="50"/>
        <v>5</v>
      </c>
      <c r="Q166" s="49">
        <f t="shared" si="50"/>
        <v>5</v>
      </c>
    </row>
    <row r="167" spans="1:24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>SUM(J166,J163:J164,J161)</f>
        <v>51.922500000000035</v>
      </c>
      <c r="K167" s="51">
        <f t="shared" ref="K167:Q167" si="51">SUM(K166,K163:K164,K161)</f>
        <v>101.08035000000001</v>
      </c>
      <c r="L167" s="51">
        <f t="shared" si="51"/>
        <v>153.07024950000005</v>
      </c>
      <c r="M167" s="51">
        <f t="shared" si="51"/>
        <v>208.82508297000001</v>
      </c>
      <c r="N167" s="51">
        <f t="shared" si="51"/>
        <v>268.05838591350005</v>
      </c>
      <c r="O167" s="51">
        <f t="shared" si="51"/>
        <v>330.39319244274009</v>
      </c>
      <c r="P167" s="51">
        <f t="shared" si="51"/>
        <v>395.22139123314969</v>
      </c>
      <c r="Q167" s="51">
        <f t="shared" si="51"/>
        <v>462.64271797517569</v>
      </c>
    </row>
    <row r="168" spans="1:24" x14ac:dyDescent="0.2">
      <c r="B168" s="67"/>
    </row>
    <row r="169" spans="1:24" x14ac:dyDescent="0.2">
      <c r="B169" s="68" t="s">
        <v>98</v>
      </c>
    </row>
    <row r="170" spans="1:24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>IF($H$38=1,AVERAGE(J158,J167),J158)</f>
        <v>28.461250000000017</v>
      </c>
      <c r="K170" s="82">
        <f t="shared" ref="K170:Q170" si="52">IF($H$38=1,AVERAGE(K158,K167),K158)</f>
        <v>76.501425000000026</v>
      </c>
      <c r="L170" s="82">
        <f t="shared" si="52"/>
        <v>127.07529975000003</v>
      </c>
      <c r="M170" s="82">
        <f t="shared" si="52"/>
        <v>180.94766623500004</v>
      </c>
      <c r="N170" s="82">
        <f t="shared" si="52"/>
        <v>238.44173444175004</v>
      </c>
      <c r="O170" s="82">
        <f t="shared" si="52"/>
        <v>299.22578917812007</v>
      </c>
      <c r="P170" s="82">
        <f t="shared" si="52"/>
        <v>362.80729183794489</v>
      </c>
      <c r="Q170" s="82">
        <f t="shared" si="52"/>
        <v>428.93205460416266</v>
      </c>
    </row>
    <row r="171" spans="1:24" x14ac:dyDescent="0.2">
      <c r="B171" s="20" t="s">
        <v>145</v>
      </c>
      <c r="G171" s="99">
        <f>H35</f>
        <v>2.5000000000000001E-3</v>
      </c>
      <c r="J171" s="50">
        <f>$G171*J170</f>
        <v>7.1153125000000039E-2</v>
      </c>
      <c r="K171" s="50">
        <f t="shared" ref="K171:Q171" si="53">$G171*K170</f>
        <v>0.19125356250000006</v>
      </c>
      <c r="L171" s="50">
        <f t="shared" si="53"/>
        <v>0.31768824937500006</v>
      </c>
      <c r="M171" s="50">
        <f t="shared" si="53"/>
        <v>0.45236916558750012</v>
      </c>
      <c r="N171" s="50">
        <f t="shared" si="53"/>
        <v>0.59610433610437508</v>
      </c>
      <c r="O171" s="50">
        <f t="shared" si="53"/>
        <v>0.74806447294530021</v>
      </c>
      <c r="P171" s="50">
        <f t="shared" si="53"/>
        <v>0.90701822959486222</v>
      </c>
      <c r="Q171" s="50">
        <f t="shared" si="53"/>
        <v>1.0723301365104068</v>
      </c>
    </row>
    <row r="172" spans="1:24" x14ac:dyDescent="0.2">
      <c r="B172" s="20"/>
    </row>
    <row r="174" spans="1:24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B175" s="8" t="s">
        <v>37</v>
      </c>
    </row>
    <row r="177" spans="2:17" x14ac:dyDescent="0.2">
      <c r="B177" s="8" t="s">
        <v>88</v>
      </c>
      <c r="I177" s="140">
        <f>I$116</f>
        <v>42735</v>
      </c>
      <c r="J177" s="54">
        <f t="shared" ref="J177:Q177" si="54">J$116</f>
        <v>43100</v>
      </c>
      <c r="K177" s="54">
        <f t="shared" si="54"/>
        <v>43465</v>
      </c>
      <c r="L177" s="54">
        <f t="shared" si="54"/>
        <v>43830</v>
      </c>
      <c r="M177" s="54">
        <f t="shared" si="54"/>
        <v>44196</v>
      </c>
      <c r="N177" s="54">
        <f t="shared" si="54"/>
        <v>44561</v>
      </c>
      <c r="O177" s="54">
        <f t="shared" si="54"/>
        <v>44926</v>
      </c>
      <c r="P177" s="54">
        <f t="shared" si="54"/>
        <v>45291</v>
      </c>
      <c r="Q177" s="54">
        <f t="shared" si="54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2:17" x14ac:dyDescent="0.2">
      <c r="C186" s="8" t="s">
        <v>168</v>
      </c>
      <c r="J186" s="57">
        <f>IFERROR(J185/$I185,0)</f>
        <v>0</v>
      </c>
      <c r="K186" s="57">
        <f t="shared" ref="K186:Q186" si="55">IFERROR(K185/$I185,0)</f>
        <v>0</v>
      </c>
      <c r="L186" s="57">
        <f t="shared" si="55"/>
        <v>0</v>
      </c>
      <c r="M186" s="57">
        <f t="shared" si="55"/>
        <v>0</v>
      </c>
      <c r="N186" s="57">
        <f t="shared" si="55"/>
        <v>0</v>
      </c>
      <c r="O186" s="57">
        <f t="shared" si="55"/>
        <v>0</v>
      </c>
      <c r="P186" s="57">
        <f t="shared" si="55"/>
        <v>0</v>
      </c>
      <c r="Q186" s="57">
        <f t="shared" si="55"/>
        <v>0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/>
      <c r="K191" s="102"/>
      <c r="L191" s="102"/>
      <c r="M191" s="102"/>
      <c r="N191" s="102"/>
      <c r="O191" s="102"/>
      <c r="P191" s="102"/>
      <c r="Q191" s="102"/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56">K194</f>
        <v>0</v>
      </c>
      <c r="M194" s="61">
        <f t="shared" si="56"/>
        <v>0</v>
      </c>
      <c r="N194" s="61">
        <f t="shared" si="56"/>
        <v>0</v>
      </c>
      <c r="O194" s="61">
        <f t="shared" si="56"/>
        <v>0</v>
      </c>
      <c r="P194" s="61">
        <f t="shared" si="56"/>
        <v>0</v>
      </c>
      <c r="Q194" s="61">
        <f t="shared" si="56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7" si="57">J195</f>
        <v>0.01</v>
      </c>
      <c r="L195" s="62">
        <f t="shared" si="57"/>
        <v>0.01</v>
      </c>
      <c r="M195" s="62">
        <f t="shared" si="57"/>
        <v>0.01</v>
      </c>
      <c r="N195" s="62">
        <f t="shared" si="57"/>
        <v>0.01</v>
      </c>
      <c r="O195" s="62">
        <f t="shared" si="57"/>
        <v>0.01</v>
      </c>
      <c r="P195" s="62">
        <f t="shared" si="57"/>
        <v>0.01</v>
      </c>
      <c r="Q195" s="62">
        <f t="shared" si="57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si="57"/>
        <v>0</v>
      </c>
      <c r="L196" s="62">
        <f t="shared" si="57"/>
        <v>0</v>
      </c>
      <c r="M196" s="62">
        <f t="shared" si="57"/>
        <v>0</v>
      </c>
      <c r="N196" s="62">
        <f t="shared" si="57"/>
        <v>0</v>
      </c>
      <c r="O196" s="62">
        <f t="shared" si="57"/>
        <v>0</v>
      </c>
      <c r="P196" s="62">
        <f t="shared" si="57"/>
        <v>0</v>
      </c>
      <c r="Q196" s="62">
        <f t="shared" si="57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si="57"/>
        <v>0</v>
      </c>
      <c r="L197" s="76">
        <f t="shared" si="57"/>
        <v>0</v>
      </c>
      <c r="M197" s="76">
        <f t="shared" si="57"/>
        <v>0</v>
      </c>
      <c r="N197" s="76">
        <f t="shared" si="57"/>
        <v>0</v>
      </c>
      <c r="O197" s="76">
        <f t="shared" si="57"/>
        <v>0</v>
      </c>
      <c r="P197" s="76">
        <f t="shared" si="57"/>
        <v>0</v>
      </c>
      <c r="Q197" s="76">
        <f t="shared" si="57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/>
      <c r="K201" s="72"/>
      <c r="L201" s="72"/>
      <c r="M201" s="72"/>
      <c r="N201" s="72"/>
      <c r="O201" s="72"/>
      <c r="P201" s="72"/>
      <c r="Q201" s="72"/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/>
      <c r="K202" s="72"/>
      <c r="L202" s="72"/>
      <c r="M202" s="72"/>
      <c r="N202" s="72"/>
      <c r="O202" s="72"/>
      <c r="P202" s="72"/>
      <c r="Q202" s="72"/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/>
      <c r="K203" s="73"/>
      <c r="L203" s="73"/>
      <c r="M203" s="73"/>
      <c r="N203" s="73"/>
      <c r="O203" s="73"/>
      <c r="P203" s="73"/>
      <c r="Q203" s="73"/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/>
      <c r="K204" s="51"/>
      <c r="L204" s="51"/>
      <c r="M204" s="51"/>
      <c r="N204" s="51"/>
      <c r="O204" s="51"/>
      <c r="P204" s="51"/>
      <c r="Q204" s="51"/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/>
      <c r="K206" s="102"/>
      <c r="L206" s="102"/>
      <c r="M206" s="102"/>
      <c r="N206" s="102"/>
      <c r="O206" s="102"/>
      <c r="P206" s="102"/>
      <c r="Q206" s="102"/>
    </row>
    <row r="207" spans="2:17" s="70" customFormat="1" x14ac:dyDescent="0.2"/>
    <row r="208" spans="2:17" x14ac:dyDescent="0.2">
      <c r="B208" s="22" t="s">
        <v>151</v>
      </c>
    </row>
    <row r="209" spans="1:24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/>
      <c r="K209" s="82"/>
      <c r="L209" s="82"/>
      <c r="M209" s="82"/>
      <c r="N209" s="82"/>
      <c r="O209" s="82"/>
      <c r="P209" s="82"/>
      <c r="Q209" s="82"/>
    </row>
    <row r="210" spans="1:24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/>
      <c r="K210" s="72"/>
      <c r="L210" s="72"/>
      <c r="M210" s="72"/>
      <c r="N210" s="72"/>
      <c r="O210" s="72"/>
      <c r="P210" s="72"/>
      <c r="Q210" s="72"/>
    </row>
    <row r="211" spans="1:24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/>
      <c r="K211" s="72"/>
      <c r="L211" s="72"/>
      <c r="M211" s="72"/>
      <c r="N211" s="72"/>
      <c r="O211" s="72"/>
      <c r="P211" s="72"/>
      <c r="Q211" s="72"/>
    </row>
    <row r="212" spans="1:24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/>
      <c r="K212" s="72"/>
      <c r="L212" s="72"/>
      <c r="M212" s="72"/>
      <c r="N212" s="72"/>
      <c r="O212" s="72"/>
      <c r="P212" s="72"/>
      <c r="Q212" s="72"/>
    </row>
    <row r="213" spans="1:24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/>
      <c r="K213" s="51"/>
      <c r="L213" s="51"/>
      <c r="M213" s="51"/>
      <c r="N213" s="51"/>
      <c r="O213" s="51"/>
      <c r="P213" s="51"/>
      <c r="Q213" s="51"/>
    </row>
    <row r="216" spans="1:24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B217" s="8" t="s">
        <v>37</v>
      </c>
    </row>
    <row r="219" spans="1:24" x14ac:dyDescent="0.2">
      <c r="B219" s="8" t="s">
        <v>88</v>
      </c>
      <c r="J219" s="54">
        <f t="shared" ref="J219:Q219" si="58">J$116</f>
        <v>43100</v>
      </c>
      <c r="K219" s="54">
        <f t="shared" si="58"/>
        <v>43465</v>
      </c>
      <c r="L219" s="54">
        <f t="shared" si="58"/>
        <v>43830</v>
      </c>
      <c r="M219" s="54">
        <f t="shared" si="58"/>
        <v>44196</v>
      </c>
      <c r="N219" s="54">
        <f t="shared" si="58"/>
        <v>44561</v>
      </c>
      <c r="O219" s="54">
        <f t="shared" si="58"/>
        <v>44926</v>
      </c>
      <c r="P219" s="54">
        <f t="shared" si="58"/>
        <v>45291</v>
      </c>
      <c r="Q219" s="54">
        <f t="shared" si="58"/>
        <v>45657</v>
      </c>
    </row>
    <row r="220" spans="1:24" ht="3" customHeight="1" x14ac:dyDescent="0.2"/>
    <row r="222" spans="1:24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4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/>
      <c r="K226" s="72"/>
      <c r="L226" s="72"/>
      <c r="M226" s="72"/>
      <c r="N226" s="72"/>
      <c r="O226" s="72"/>
      <c r="P226" s="72"/>
      <c r="Q226" s="72"/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/>
      <c r="K227" s="72"/>
      <c r="L227" s="72"/>
      <c r="M227" s="72"/>
      <c r="N227" s="72"/>
      <c r="O227" s="72"/>
      <c r="P227" s="72"/>
      <c r="Q227" s="72"/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/>
      <c r="K228" s="72"/>
      <c r="L228" s="72"/>
      <c r="M228" s="72"/>
      <c r="N228" s="72"/>
      <c r="O228" s="72"/>
      <c r="P228" s="72"/>
      <c r="Q228" s="72"/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/>
      <c r="K229" s="73"/>
      <c r="L229" s="73"/>
      <c r="M229" s="73"/>
      <c r="N229" s="73"/>
      <c r="O229" s="73"/>
      <c r="P229" s="73"/>
      <c r="Q229" s="73"/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/>
      <c r="K232" s="108"/>
      <c r="L232" s="108"/>
      <c r="M232" s="108"/>
      <c r="N232" s="108"/>
      <c r="O232" s="108"/>
      <c r="P232" s="108"/>
      <c r="Q232" s="108"/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59">S10</f>
        <v>1</v>
      </c>
      <c r="H233" s="110">
        <f t="shared" si="59"/>
        <v>0.02</v>
      </c>
      <c r="I233" s="16"/>
      <c r="J233" s="111"/>
      <c r="K233" s="111"/>
      <c r="L233" s="111"/>
      <c r="M233" s="111"/>
      <c r="N233" s="111"/>
      <c r="O233" s="111"/>
      <c r="P233" s="111"/>
      <c r="Q233" s="111"/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59"/>
        <v>1</v>
      </c>
      <c r="H234" s="109">
        <f t="shared" si="59"/>
        <v>0.03</v>
      </c>
      <c r="I234" s="16"/>
      <c r="J234" s="111"/>
      <c r="K234" s="111"/>
      <c r="L234" s="111"/>
      <c r="M234" s="111"/>
      <c r="N234" s="111"/>
      <c r="O234" s="111"/>
      <c r="P234" s="111"/>
      <c r="Q234" s="111"/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59"/>
        <v>0</v>
      </c>
      <c r="H235" s="111">
        <f t="shared" si="59"/>
        <v>7.0000000000000007E-2</v>
      </c>
      <c r="I235" s="16"/>
      <c r="J235" s="111"/>
      <c r="K235" s="111"/>
      <c r="L235" s="111"/>
      <c r="M235" s="111"/>
      <c r="N235" s="111"/>
      <c r="O235" s="111"/>
      <c r="P235" s="111"/>
      <c r="Q235" s="111"/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59"/>
        <v>0</v>
      </c>
      <c r="H236" s="112">
        <f t="shared" si="59"/>
        <v>8.5000000000000006E-2</v>
      </c>
      <c r="I236" s="17"/>
      <c r="J236" s="112"/>
      <c r="K236" s="112"/>
      <c r="L236" s="112"/>
      <c r="M236" s="112"/>
      <c r="N236" s="112"/>
      <c r="O236" s="112"/>
      <c r="P236" s="112"/>
      <c r="Q236" s="112"/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/>
      <c r="K240" s="72"/>
      <c r="L240" s="72"/>
      <c r="M240" s="72"/>
      <c r="N240" s="72"/>
      <c r="O240" s="72"/>
      <c r="P240" s="72"/>
      <c r="Q240" s="72"/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/>
      <c r="K241" s="72"/>
      <c r="L241" s="72"/>
      <c r="M241" s="72"/>
      <c r="N241" s="72"/>
      <c r="O241" s="72"/>
      <c r="P241" s="72"/>
      <c r="Q241" s="72"/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/>
      <c r="K242" s="72"/>
      <c r="L242" s="72"/>
      <c r="M242" s="72"/>
      <c r="N242" s="72"/>
      <c r="O242" s="72"/>
      <c r="P242" s="72"/>
      <c r="Q242" s="72"/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/>
      <c r="K243" s="73"/>
      <c r="L243" s="73"/>
      <c r="M243" s="73"/>
      <c r="N243" s="73"/>
      <c r="O243" s="73"/>
      <c r="P243" s="73"/>
      <c r="Q243" s="73"/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/>
      <c r="K244" s="51"/>
      <c r="L244" s="51"/>
      <c r="M244" s="51"/>
      <c r="N244" s="51"/>
      <c r="O244" s="51"/>
      <c r="P244" s="51"/>
      <c r="Q244" s="51"/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60">V13</f>
        <v>3</v>
      </c>
      <c r="H248" s="17"/>
      <c r="I248" s="17"/>
      <c r="J248" s="73"/>
      <c r="K248" s="73"/>
      <c r="L248" s="73"/>
      <c r="M248" s="73"/>
      <c r="N248" s="73"/>
      <c r="O248" s="73"/>
      <c r="P248" s="73"/>
      <c r="Q248" s="73"/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/>
      <c r="K249" s="51"/>
      <c r="L249" s="51"/>
      <c r="M249" s="51"/>
      <c r="N249" s="51"/>
      <c r="O249" s="51"/>
      <c r="P249" s="51"/>
      <c r="Q249" s="51"/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/>
      <c r="K252" s="82"/>
      <c r="L252" s="82"/>
      <c r="M252" s="82"/>
      <c r="N252" s="82"/>
      <c r="O252" s="82"/>
      <c r="P252" s="82"/>
      <c r="Q252" s="82"/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/>
      <c r="K253" s="72"/>
      <c r="L253" s="72"/>
      <c r="M253" s="72"/>
      <c r="N253" s="72"/>
      <c r="O253" s="72"/>
      <c r="P253" s="72"/>
      <c r="Q253" s="72"/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/>
      <c r="K254" s="72"/>
      <c r="L254" s="72"/>
      <c r="M254" s="72"/>
      <c r="N254" s="72"/>
      <c r="O254" s="72"/>
      <c r="P254" s="72"/>
      <c r="Q254" s="72"/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/>
      <c r="K255" s="73"/>
      <c r="L255" s="73"/>
      <c r="M255" s="73"/>
      <c r="N255" s="73"/>
      <c r="O255" s="73"/>
      <c r="P255" s="73"/>
      <c r="Q255" s="73"/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/>
      <c r="K256" s="51"/>
      <c r="L256" s="51"/>
      <c r="M256" s="51"/>
      <c r="N256" s="51"/>
      <c r="O256" s="51"/>
      <c r="P256" s="51"/>
      <c r="Q256" s="51"/>
    </row>
    <row r="258" spans="1:24" x14ac:dyDescent="0.2">
      <c r="B258" s="22" t="s">
        <v>158</v>
      </c>
    </row>
    <row r="259" spans="1:24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/>
      <c r="K259" s="82"/>
      <c r="L259" s="82"/>
      <c r="M259" s="82"/>
      <c r="N259" s="82"/>
      <c r="O259" s="82"/>
      <c r="P259" s="82"/>
      <c r="Q259" s="82"/>
    </row>
    <row r="260" spans="1:24" x14ac:dyDescent="0.2">
      <c r="B260" s="20" t="s">
        <v>157</v>
      </c>
      <c r="J260" s="50"/>
      <c r="K260" s="50"/>
      <c r="L260" s="50"/>
      <c r="M260" s="50"/>
      <c r="N260" s="50"/>
      <c r="O260" s="50"/>
      <c r="P260" s="50"/>
      <c r="Q260" s="50"/>
    </row>
    <row r="261" spans="1:24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/>
      <c r="K261" s="51"/>
      <c r="L261" s="51"/>
      <c r="M261" s="51"/>
      <c r="N261" s="51"/>
      <c r="O261" s="51"/>
      <c r="P261" s="51"/>
      <c r="Q261" s="51"/>
    </row>
    <row r="262" spans="1:24" x14ac:dyDescent="0.2">
      <c r="B262" s="20" t="s">
        <v>159</v>
      </c>
      <c r="J262" s="50"/>
      <c r="K262" s="50"/>
      <c r="L262" s="50"/>
      <c r="M262" s="50"/>
      <c r="N262" s="50"/>
      <c r="O262" s="50"/>
      <c r="P262" s="50"/>
      <c r="Q262" s="50"/>
    </row>
    <row r="263" spans="1:24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/>
      <c r="K263" s="51"/>
      <c r="L263" s="51"/>
      <c r="M263" s="51"/>
      <c r="N263" s="51"/>
      <c r="O263" s="51"/>
      <c r="P263" s="51"/>
      <c r="Q263" s="51"/>
    </row>
    <row r="265" spans="1:24" x14ac:dyDescent="0.2">
      <c r="B265" s="22" t="s">
        <v>160</v>
      </c>
    </row>
    <row r="266" spans="1:24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/>
      <c r="K266" s="82"/>
      <c r="L266" s="82"/>
      <c r="M266" s="82"/>
      <c r="N266" s="82"/>
      <c r="O266" s="82"/>
      <c r="P266" s="82"/>
      <c r="Q266" s="82"/>
    </row>
    <row r="267" spans="1:24" x14ac:dyDescent="0.2">
      <c r="B267" s="20" t="s">
        <v>157</v>
      </c>
      <c r="J267" s="50"/>
      <c r="K267" s="50"/>
      <c r="L267" s="50"/>
      <c r="M267" s="50"/>
      <c r="N267" s="50"/>
      <c r="O267" s="50"/>
      <c r="P267" s="50"/>
      <c r="Q267" s="50"/>
    </row>
    <row r="268" spans="1:24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/>
      <c r="K268" s="51"/>
      <c r="L268" s="51"/>
      <c r="M268" s="51"/>
      <c r="N268" s="51"/>
      <c r="O268" s="51"/>
      <c r="P268" s="51"/>
      <c r="Q268" s="51"/>
    </row>
    <row r="272" spans="1:24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40">
        <f>I$116</f>
        <v>42735</v>
      </c>
      <c r="J275" s="54">
        <f t="shared" ref="J275:Q275" si="61">J$116</f>
        <v>43100</v>
      </c>
      <c r="K275" s="54">
        <f t="shared" si="61"/>
        <v>43465</v>
      </c>
      <c r="L275" s="54">
        <f t="shared" si="61"/>
        <v>43830</v>
      </c>
      <c r="M275" s="54">
        <f t="shared" si="61"/>
        <v>44196</v>
      </c>
      <c r="N275" s="54">
        <f t="shared" si="61"/>
        <v>44561</v>
      </c>
      <c r="O275" s="54">
        <f t="shared" si="61"/>
        <v>44926</v>
      </c>
      <c r="P275" s="54">
        <f t="shared" si="61"/>
        <v>45291</v>
      </c>
      <c r="Q275" s="54">
        <f t="shared" si="61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/>
      <c r="J281" s="73"/>
      <c r="K281" s="73"/>
      <c r="L281" s="73"/>
      <c r="M281" s="73"/>
      <c r="N281" s="73"/>
      <c r="O281" s="73"/>
      <c r="P281" s="73"/>
      <c r="Q281" s="73"/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16"/>
      <c r="J285" s="72"/>
      <c r="K285" s="72"/>
      <c r="L285" s="72"/>
      <c r="M285" s="72"/>
      <c r="N285" s="72"/>
      <c r="O285" s="72"/>
      <c r="P285" s="72"/>
      <c r="Q285" s="72"/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17"/>
      <c r="J286" s="73"/>
      <c r="K286" s="73"/>
      <c r="L286" s="73"/>
      <c r="M286" s="73"/>
      <c r="N286" s="73"/>
      <c r="O286" s="73"/>
      <c r="P286" s="73"/>
      <c r="Q286" s="73"/>
    </row>
    <row r="288" spans="2:17" x14ac:dyDescent="0.2">
      <c r="B288" s="22" t="s">
        <v>13</v>
      </c>
    </row>
    <row r="289" spans="1:24" x14ac:dyDescent="0.2">
      <c r="B289" s="19" t="s">
        <v>174</v>
      </c>
      <c r="C289" s="19"/>
      <c r="D289" s="19"/>
      <c r="E289" s="19"/>
      <c r="F289" s="19"/>
      <c r="G289" s="19"/>
      <c r="H289" s="19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1:24" x14ac:dyDescent="0.2">
      <c r="B290" s="16" t="s">
        <v>175</v>
      </c>
      <c r="C290" s="16"/>
      <c r="D290" s="16"/>
      <c r="E290" s="16"/>
      <c r="F290" s="16"/>
      <c r="G290" s="16"/>
      <c r="H290" s="16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1:24" x14ac:dyDescent="0.2">
      <c r="B291" s="17" t="s">
        <v>173</v>
      </c>
      <c r="C291" s="17"/>
      <c r="D291" s="17"/>
      <c r="E291" s="17"/>
      <c r="F291" s="17"/>
      <c r="G291" s="17"/>
      <c r="H291" s="17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3" spans="1:24" x14ac:dyDescent="0.2">
      <c r="B293" s="22" t="s">
        <v>14</v>
      </c>
    </row>
    <row r="294" spans="1:24" x14ac:dyDescent="0.2">
      <c r="B294" s="19" t="s">
        <v>176</v>
      </c>
      <c r="C294" s="19"/>
      <c r="D294" s="19"/>
      <c r="E294" s="19"/>
      <c r="F294" s="19"/>
      <c r="G294" s="19"/>
      <c r="H294" s="19"/>
      <c r="I294" s="19"/>
      <c r="J294" s="122"/>
      <c r="K294" s="122"/>
      <c r="L294" s="122"/>
      <c r="M294" s="122"/>
      <c r="N294" s="122"/>
      <c r="O294" s="122"/>
      <c r="P294" s="122"/>
      <c r="Q294" s="122"/>
    </row>
    <row r="295" spans="1:24" x14ac:dyDescent="0.2">
      <c r="B295" s="3" t="s">
        <v>177</v>
      </c>
      <c r="J295" s="124"/>
      <c r="K295" s="124"/>
      <c r="L295" s="124"/>
      <c r="M295" s="124"/>
      <c r="N295" s="124"/>
      <c r="O295" s="124"/>
      <c r="P295" s="124"/>
      <c r="Q295" s="124"/>
    </row>
    <row r="296" spans="1:24" s="63" customFormat="1" x14ac:dyDescent="0.2"/>
    <row r="300" spans="1:24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B301" s="8" t="s">
        <v>37</v>
      </c>
    </row>
    <row r="303" spans="1:24" x14ac:dyDescent="0.2">
      <c r="B303" s="8" t="s">
        <v>88</v>
      </c>
      <c r="I303" s="140">
        <f t="shared" ref="I303" si="62">I$116</f>
        <v>42735</v>
      </c>
      <c r="J303" s="54">
        <f t="shared" ref="J303:Q303" si="63">J$116</f>
        <v>43100</v>
      </c>
      <c r="K303" s="54">
        <f t="shared" si="63"/>
        <v>43465</v>
      </c>
      <c r="L303" s="54">
        <f t="shared" si="63"/>
        <v>43830</v>
      </c>
      <c r="M303" s="54">
        <f t="shared" si="63"/>
        <v>44196</v>
      </c>
      <c r="N303" s="54">
        <f t="shared" si="63"/>
        <v>44561</v>
      </c>
      <c r="O303" s="54">
        <f t="shared" si="63"/>
        <v>44926</v>
      </c>
      <c r="P303" s="54">
        <f t="shared" si="63"/>
        <v>45291</v>
      </c>
      <c r="Q303" s="54">
        <f t="shared" si="63"/>
        <v>45657</v>
      </c>
    </row>
    <row r="304" spans="1:24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/>
      <c r="K306" s="126"/>
      <c r="L306" s="126"/>
      <c r="M306" s="126"/>
      <c r="N306" s="126"/>
      <c r="O306" s="126"/>
      <c r="P306" s="126"/>
      <c r="Q306" s="126"/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/>
      <c r="K308" s="82"/>
      <c r="L308" s="82"/>
      <c r="M308" s="82"/>
      <c r="N308" s="82"/>
      <c r="O308" s="82"/>
      <c r="P308" s="82"/>
      <c r="Q308" s="82"/>
    </row>
    <row r="309" spans="2:17" x14ac:dyDescent="0.2">
      <c r="B309" s="20" t="s">
        <v>178</v>
      </c>
      <c r="J309" s="50"/>
      <c r="K309" s="50"/>
      <c r="L309" s="50"/>
      <c r="M309" s="50"/>
      <c r="N309" s="50"/>
      <c r="O309" s="50"/>
      <c r="P309" s="50"/>
      <c r="Q309" s="50"/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/>
      <c r="K310" s="51"/>
      <c r="L310" s="51"/>
      <c r="M310" s="51"/>
      <c r="N310" s="51"/>
      <c r="O310" s="51"/>
      <c r="P310" s="51"/>
      <c r="Q310" s="51"/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/>
      <c r="K316" s="82"/>
      <c r="L316" s="82"/>
      <c r="M316" s="82"/>
      <c r="N316" s="82"/>
      <c r="O316" s="82"/>
      <c r="P316" s="82"/>
      <c r="Q316" s="82"/>
    </row>
    <row r="317" spans="2:17" x14ac:dyDescent="0.2">
      <c r="E317" s="127">
        <f>E318-0.5</f>
        <v>7.5</v>
      </c>
      <c r="F317" s="16"/>
      <c r="G317" s="16"/>
      <c r="H317" s="16"/>
      <c r="I317" s="16"/>
      <c r="J317" s="72"/>
      <c r="K317" s="72"/>
      <c r="L317" s="72"/>
      <c r="M317" s="72"/>
      <c r="N317" s="72"/>
      <c r="O317" s="72"/>
      <c r="P317" s="72"/>
      <c r="Q317" s="72"/>
    </row>
    <row r="318" spans="2:17" x14ac:dyDescent="0.2">
      <c r="E318" s="127">
        <f>E319-0.5</f>
        <v>8</v>
      </c>
      <c r="F318" s="16"/>
      <c r="G318" s="16"/>
      <c r="H318" s="16"/>
      <c r="I318" s="16"/>
      <c r="J318" s="72"/>
      <c r="K318" s="72"/>
      <c r="L318" s="72"/>
      <c r="M318" s="72"/>
      <c r="N318" s="72"/>
      <c r="O318" s="72"/>
      <c r="P318" s="72"/>
      <c r="Q318" s="72"/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/>
      <c r="K319" s="72"/>
      <c r="L319" s="72"/>
      <c r="M319" s="72"/>
      <c r="N319" s="72"/>
      <c r="O319" s="72"/>
      <c r="P319" s="72"/>
      <c r="Q319" s="72"/>
    </row>
    <row r="320" spans="2:17" x14ac:dyDescent="0.2">
      <c r="E320" s="128">
        <f>$M$10</f>
        <v>9</v>
      </c>
      <c r="F320" s="129"/>
      <c r="G320" s="129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/>
      <c r="K321" s="72"/>
      <c r="L321" s="72"/>
      <c r="M321" s="72"/>
      <c r="N321" s="72"/>
      <c r="O321" s="72"/>
      <c r="P321" s="72"/>
      <c r="Q321" s="72"/>
    </row>
    <row r="322" spans="2:17" x14ac:dyDescent="0.2">
      <c r="E322" s="127">
        <f>E321+0.5</f>
        <v>10</v>
      </c>
      <c r="F322" s="16"/>
      <c r="G322" s="16"/>
      <c r="H322" s="16"/>
      <c r="I322" s="16"/>
      <c r="J322" s="72"/>
      <c r="K322" s="72"/>
      <c r="L322" s="72"/>
      <c r="M322" s="72"/>
      <c r="N322" s="72"/>
      <c r="O322" s="72"/>
      <c r="P322" s="72"/>
      <c r="Q322" s="72"/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/>
      <c r="K323" s="72"/>
      <c r="L323" s="72"/>
      <c r="M323" s="72"/>
      <c r="N323" s="72"/>
      <c r="O323" s="72"/>
      <c r="P323" s="72"/>
      <c r="Q323" s="72"/>
    </row>
    <row r="324" spans="2:17" x14ac:dyDescent="0.2">
      <c r="E324" s="127">
        <f>E323+0.5</f>
        <v>11</v>
      </c>
      <c r="F324" s="17"/>
      <c r="G324" s="17"/>
      <c r="H324" s="17"/>
      <c r="I324" s="17"/>
      <c r="J324" s="73"/>
      <c r="K324" s="73"/>
      <c r="L324" s="73"/>
      <c r="M324" s="73"/>
      <c r="N324" s="73"/>
      <c r="O324" s="73"/>
      <c r="P324" s="73"/>
      <c r="Q324" s="73"/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/>
      <c r="K330" s="82"/>
      <c r="L330" s="82"/>
      <c r="M330" s="82"/>
      <c r="N330" s="82"/>
      <c r="O330" s="82"/>
      <c r="P330" s="82"/>
      <c r="Q330" s="82"/>
    </row>
    <row r="331" spans="2:17" x14ac:dyDescent="0.2">
      <c r="E331" s="127">
        <v>7.5</v>
      </c>
      <c r="F331" s="16"/>
      <c r="G331" s="16"/>
      <c r="H331" s="16"/>
      <c r="I331" s="16"/>
      <c r="J331" s="72"/>
      <c r="K331" s="72"/>
      <c r="L331" s="72"/>
      <c r="M331" s="72"/>
      <c r="N331" s="72"/>
      <c r="O331" s="72"/>
      <c r="P331" s="72"/>
      <c r="Q331" s="72"/>
    </row>
    <row r="332" spans="2:17" x14ac:dyDescent="0.2">
      <c r="E332" s="127">
        <v>8</v>
      </c>
      <c r="F332" s="16"/>
      <c r="G332" s="16"/>
      <c r="H332" s="16"/>
      <c r="I332" s="16"/>
      <c r="J332" s="72"/>
      <c r="K332" s="72"/>
      <c r="L332" s="72"/>
      <c r="M332" s="72"/>
      <c r="N332" s="72"/>
      <c r="O332" s="72"/>
      <c r="P332" s="72"/>
      <c r="Q332" s="72"/>
    </row>
    <row r="333" spans="2:17" x14ac:dyDescent="0.2">
      <c r="E333" s="127">
        <v>8.5</v>
      </c>
      <c r="F333" s="16"/>
      <c r="G333" s="16"/>
      <c r="H333" s="16"/>
      <c r="I333" s="16"/>
      <c r="J333" s="72"/>
      <c r="K333" s="72"/>
      <c r="L333" s="72"/>
      <c r="M333" s="72"/>
      <c r="N333" s="72"/>
      <c r="O333" s="72"/>
      <c r="P333" s="72"/>
      <c r="Q333" s="72"/>
    </row>
    <row r="334" spans="2:17" x14ac:dyDescent="0.2">
      <c r="E334" s="128">
        <v>9</v>
      </c>
      <c r="F334" s="129"/>
      <c r="G334" s="129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</row>
    <row r="335" spans="2:17" x14ac:dyDescent="0.2">
      <c r="E335" s="127">
        <v>9.5</v>
      </c>
      <c r="F335" s="16"/>
      <c r="G335" s="16"/>
      <c r="H335" s="16"/>
      <c r="I335" s="16"/>
      <c r="J335" s="72"/>
      <c r="K335" s="72"/>
      <c r="L335" s="72"/>
      <c r="M335" s="72"/>
      <c r="N335" s="72"/>
      <c r="O335" s="72"/>
      <c r="P335" s="72"/>
      <c r="Q335" s="72"/>
    </row>
    <row r="336" spans="2:17" x14ac:dyDescent="0.2">
      <c r="E336" s="127">
        <v>10</v>
      </c>
      <c r="F336" s="16"/>
      <c r="G336" s="16"/>
      <c r="H336" s="16"/>
      <c r="I336" s="16"/>
      <c r="J336" s="72"/>
      <c r="K336" s="72"/>
      <c r="L336" s="72"/>
      <c r="M336" s="72"/>
      <c r="N336" s="72"/>
      <c r="O336" s="72"/>
      <c r="P336" s="72"/>
      <c r="Q336" s="72"/>
    </row>
    <row r="337" spans="2:17" x14ac:dyDescent="0.2">
      <c r="E337" s="127">
        <v>10.5</v>
      </c>
      <c r="F337" s="16"/>
      <c r="G337" s="16"/>
      <c r="H337" s="16"/>
      <c r="I337" s="16"/>
      <c r="J337" s="72"/>
      <c r="K337" s="72"/>
      <c r="L337" s="72"/>
      <c r="M337" s="72"/>
      <c r="N337" s="72"/>
      <c r="O337" s="72"/>
      <c r="P337" s="72"/>
      <c r="Q337" s="72"/>
    </row>
    <row r="338" spans="2:17" x14ac:dyDescent="0.2">
      <c r="E338" s="127">
        <v>11</v>
      </c>
      <c r="F338" s="17"/>
      <c r="G338" s="17"/>
      <c r="H338" s="17"/>
      <c r="I338" s="17"/>
      <c r="J338" s="73"/>
      <c r="K338" s="73"/>
      <c r="L338" s="73"/>
      <c r="M338" s="73"/>
      <c r="N338" s="73"/>
      <c r="O338" s="73"/>
      <c r="P338" s="73"/>
      <c r="Q338" s="73"/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/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/>
      <c r="K344" s="135"/>
      <c r="L344" s="135"/>
      <c r="M344" s="135"/>
      <c r="N344" s="135"/>
      <c r="O344" s="135"/>
      <c r="P344" s="135"/>
      <c r="Q344" s="135"/>
    </row>
    <row r="345" spans="2:17" x14ac:dyDescent="0.2">
      <c r="E345" s="127">
        <v>7.5</v>
      </c>
      <c r="F345" s="16"/>
      <c r="G345" s="16"/>
      <c r="H345" s="16"/>
      <c r="I345" s="16"/>
      <c r="J345" s="132"/>
      <c r="K345" s="132"/>
      <c r="L345" s="132"/>
      <c r="M345" s="132"/>
      <c r="N345" s="132"/>
      <c r="O345" s="132"/>
      <c r="P345" s="132"/>
      <c r="Q345" s="132"/>
    </row>
    <row r="346" spans="2:17" x14ac:dyDescent="0.2">
      <c r="E346" s="127">
        <v>8</v>
      </c>
      <c r="F346" s="16"/>
      <c r="G346" s="16"/>
      <c r="H346" s="16"/>
      <c r="I346" s="16"/>
      <c r="J346" s="132"/>
      <c r="K346" s="132"/>
      <c r="L346" s="132"/>
      <c r="M346" s="132"/>
      <c r="N346" s="132"/>
      <c r="O346" s="132"/>
      <c r="P346" s="132"/>
      <c r="Q346" s="132"/>
    </row>
    <row r="347" spans="2:17" x14ac:dyDescent="0.2">
      <c r="E347" s="127">
        <v>8.5</v>
      </c>
      <c r="F347" s="16"/>
      <c r="G347" s="16"/>
      <c r="H347" s="16"/>
      <c r="I347" s="16"/>
      <c r="J347" s="132"/>
      <c r="K347" s="132"/>
      <c r="L347" s="132"/>
      <c r="M347" s="132"/>
      <c r="N347" s="132"/>
      <c r="O347" s="132"/>
      <c r="P347" s="132"/>
      <c r="Q347" s="132"/>
    </row>
    <row r="348" spans="2:17" x14ac:dyDescent="0.2">
      <c r="E348" s="128">
        <v>9</v>
      </c>
      <c r="F348" s="129"/>
      <c r="G348" s="129"/>
      <c r="H348" s="129"/>
      <c r="I348" s="129"/>
      <c r="J348" s="133"/>
      <c r="K348" s="133"/>
      <c r="L348" s="133"/>
      <c r="M348" s="133"/>
      <c r="N348" s="133"/>
      <c r="O348" s="133"/>
      <c r="P348" s="133"/>
      <c r="Q348" s="133"/>
    </row>
    <row r="349" spans="2:17" x14ac:dyDescent="0.2">
      <c r="E349" s="127">
        <v>9.5</v>
      </c>
      <c r="F349" s="16"/>
      <c r="G349" s="16"/>
      <c r="H349" s="16"/>
      <c r="I349" s="16"/>
      <c r="J349" s="132"/>
      <c r="K349" s="132"/>
      <c r="L349" s="132"/>
      <c r="M349" s="132"/>
      <c r="N349" s="132"/>
      <c r="O349" s="132"/>
      <c r="P349" s="132"/>
      <c r="Q349" s="132"/>
    </row>
    <row r="350" spans="2:17" x14ac:dyDescent="0.2">
      <c r="E350" s="127">
        <v>10</v>
      </c>
      <c r="F350" s="16"/>
      <c r="G350" s="16"/>
      <c r="H350" s="16"/>
      <c r="I350" s="16"/>
      <c r="J350" s="132"/>
      <c r="K350" s="132"/>
      <c r="L350" s="132"/>
      <c r="M350" s="132"/>
      <c r="N350" s="132"/>
      <c r="O350" s="132"/>
      <c r="P350" s="132"/>
      <c r="Q350" s="132"/>
    </row>
    <row r="351" spans="2:17" x14ac:dyDescent="0.2">
      <c r="E351" s="127">
        <v>10.5</v>
      </c>
      <c r="F351" s="16"/>
      <c r="G351" s="16"/>
      <c r="H351" s="16"/>
      <c r="I351" s="16"/>
      <c r="J351" s="132"/>
      <c r="K351" s="132"/>
      <c r="L351" s="132"/>
      <c r="M351" s="132"/>
      <c r="N351" s="132"/>
      <c r="O351" s="132"/>
      <c r="P351" s="132"/>
      <c r="Q351" s="132"/>
    </row>
    <row r="352" spans="2:17" x14ac:dyDescent="0.2">
      <c r="E352" s="127">
        <v>11</v>
      </c>
      <c r="F352" s="17"/>
      <c r="G352" s="17"/>
      <c r="H352" s="17"/>
      <c r="I352" s="17"/>
      <c r="J352" s="134"/>
      <c r="K352" s="134"/>
      <c r="L352" s="134"/>
      <c r="M352" s="134"/>
      <c r="N352" s="134"/>
      <c r="O352" s="134"/>
      <c r="P352" s="134"/>
      <c r="Q352" s="134"/>
    </row>
    <row r="355" spans="2:17" x14ac:dyDescent="0.2">
      <c r="B355" s="22" t="s">
        <v>5</v>
      </c>
    </row>
    <row r="356" spans="2:17" x14ac:dyDescent="0.2">
      <c r="B356" s="8" t="s">
        <v>179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/>
      <c r="K358" s="61"/>
      <c r="L358" s="61"/>
      <c r="M358" s="61"/>
      <c r="N358" s="61"/>
      <c r="O358" s="61"/>
      <c r="P358" s="61"/>
      <c r="Q358" s="61"/>
    </row>
    <row r="359" spans="2:17" x14ac:dyDescent="0.2">
      <c r="E359" s="127">
        <v>7.5</v>
      </c>
      <c r="F359" s="16"/>
      <c r="G359" s="16"/>
      <c r="H359" s="16"/>
      <c r="I359" s="16"/>
      <c r="J359" s="62"/>
      <c r="K359" s="62"/>
      <c r="L359" s="62"/>
      <c r="M359" s="62"/>
      <c r="N359" s="62"/>
      <c r="O359" s="62"/>
      <c r="P359" s="62"/>
      <c r="Q359" s="62"/>
    </row>
    <row r="360" spans="2:17" x14ac:dyDescent="0.2">
      <c r="E360" s="127">
        <v>8</v>
      </c>
      <c r="F360" s="16"/>
      <c r="G360" s="16"/>
      <c r="H360" s="16"/>
      <c r="I360" s="16"/>
      <c r="J360" s="62"/>
      <c r="K360" s="62"/>
      <c r="L360" s="62"/>
      <c r="M360" s="62"/>
      <c r="N360" s="62"/>
      <c r="O360" s="62"/>
      <c r="P360" s="62"/>
      <c r="Q360" s="62"/>
    </row>
    <row r="361" spans="2:17" x14ac:dyDescent="0.2">
      <c r="E361" s="127">
        <v>8.5</v>
      </c>
      <c r="F361" s="16"/>
      <c r="G361" s="16"/>
      <c r="H361" s="16"/>
      <c r="I361" s="16"/>
      <c r="J361" s="62"/>
      <c r="K361" s="62"/>
      <c r="L361" s="62"/>
      <c r="M361" s="62"/>
      <c r="N361" s="62"/>
      <c r="O361" s="62"/>
      <c r="P361" s="62"/>
      <c r="Q361" s="62"/>
    </row>
    <row r="362" spans="2:17" x14ac:dyDescent="0.2">
      <c r="E362" s="128">
        <v>9</v>
      </c>
      <c r="F362" s="129"/>
      <c r="G362" s="129"/>
      <c r="H362" s="129"/>
      <c r="I362" s="129"/>
      <c r="J362" s="136"/>
      <c r="K362" s="136"/>
      <c r="L362" s="136"/>
      <c r="M362" s="136"/>
      <c r="N362" s="136"/>
      <c r="O362" s="136"/>
      <c r="P362" s="136"/>
      <c r="Q362" s="136"/>
    </row>
    <row r="363" spans="2:17" x14ac:dyDescent="0.2">
      <c r="E363" s="127">
        <v>9.5</v>
      </c>
      <c r="F363" s="16"/>
      <c r="G363" s="16"/>
      <c r="H363" s="16"/>
      <c r="I363" s="16"/>
      <c r="J363" s="62"/>
      <c r="K363" s="62"/>
      <c r="L363" s="62"/>
      <c r="M363" s="62"/>
      <c r="N363" s="62"/>
      <c r="O363" s="62"/>
      <c r="P363" s="62"/>
      <c r="Q363" s="62"/>
    </row>
    <row r="364" spans="2:17" x14ac:dyDescent="0.2">
      <c r="E364" s="127">
        <v>10</v>
      </c>
      <c r="F364" s="16"/>
      <c r="G364" s="16"/>
      <c r="H364" s="16"/>
      <c r="I364" s="16"/>
      <c r="J364" s="62"/>
      <c r="K364" s="62"/>
      <c r="L364" s="62"/>
      <c r="M364" s="62"/>
      <c r="N364" s="62"/>
      <c r="O364" s="62"/>
      <c r="P364" s="62"/>
      <c r="Q364" s="62"/>
    </row>
    <row r="365" spans="2:17" x14ac:dyDescent="0.2">
      <c r="E365" s="127">
        <v>10.5</v>
      </c>
      <c r="F365" s="16"/>
      <c r="G365" s="16"/>
      <c r="H365" s="16"/>
      <c r="I365" s="16"/>
      <c r="J365" s="62"/>
      <c r="K365" s="62"/>
      <c r="L365" s="62"/>
      <c r="M365" s="62"/>
      <c r="N365" s="62"/>
      <c r="O365" s="62"/>
      <c r="P365" s="62"/>
      <c r="Q365" s="62"/>
    </row>
    <row r="366" spans="2:17" x14ac:dyDescent="0.2">
      <c r="E366" s="127">
        <v>11</v>
      </c>
      <c r="F366" s="17"/>
      <c r="G366" s="17"/>
      <c r="H366" s="17"/>
      <c r="I366" s="17"/>
      <c r="J366" s="76"/>
      <c r="K366" s="76"/>
      <c r="L366" s="76"/>
      <c r="M366" s="76"/>
      <c r="N366" s="76"/>
      <c r="O366" s="76"/>
      <c r="P366" s="76"/>
      <c r="Q366" s="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LBO_Final</vt:lpstr>
      <vt:lpstr>LBO_3</vt:lpstr>
      <vt:lpstr>LBO_4</vt:lpstr>
      <vt:lpstr>LBO_5</vt:lpstr>
      <vt:lpstr>LBO_6</vt:lpstr>
      <vt:lpstr>LBO_7</vt:lpstr>
      <vt:lpstr>LBO_8</vt:lpstr>
      <vt:lpstr>LBO_9</vt:lpstr>
      <vt:lpstr>LBO_10</vt:lpstr>
      <vt:lpstr>LBO_11</vt:lpstr>
      <vt:lpstr>LBO_12</vt:lpstr>
      <vt:lpstr>LBO_13</vt:lpstr>
      <vt:lpstr>LBO_14</vt:lpstr>
      <vt:lpstr>LBO_15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ModelPro</dc:creator>
  <cp:lastModifiedBy>MP</cp:lastModifiedBy>
  <cp:lastPrinted>2005-07-21T03:36:40Z</cp:lastPrinted>
  <dcterms:created xsi:type="dcterms:W3CDTF">2004-01-05T18:38:23Z</dcterms:created>
  <dcterms:modified xsi:type="dcterms:W3CDTF">2018-03-12T02:01:53Z</dcterms:modified>
</cp:coreProperties>
</file>